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Usuário\Documents\Arquivos\Empresa de consultoria\a prefeituras\capao da canoa\planilhas de custo\"/>
    </mc:Choice>
  </mc:AlternateContent>
  <bookViews>
    <workbookView xWindow="-120" yWindow="-120" windowWidth="20736" windowHeight="11160"/>
  </bookViews>
  <sheets>
    <sheet name="linha 1 e 3" sheetId="2" r:id="rId1"/>
    <sheet name="linha 2" sheetId="4" r:id="rId2"/>
    <sheet name="linha 4" sheetId="3" r:id="rId3"/>
    <sheet name="linha 5" sheetId="6" r:id="rId4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55" i="6" l="1"/>
  <c r="H53" i="6"/>
  <c r="E40" i="6"/>
  <c r="D40" i="6"/>
  <c r="E39" i="6"/>
  <c r="D39" i="6"/>
  <c r="E36" i="6"/>
  <c r="E37" i="6" s="1"/>
  <c r="E38" i="6" s="1"/>
  <c r="E41" i="6" s="1"/>
  <c r="D36" i="6"/>
  <c r="D37" i="6" s="1"/>
  <c r="D38" i="6" s="1"/>
  <c r="C29" i="6"/>
  <c r="B20" i="6"/>
  <c r="D16" i="6"/>
  <c r="B16" i="6"/>
  <c r="B14" i="6"/>
  <c r="D13" i="6"/>
  <c r="C13" i="6"/>
  <c r="C15" i="6" s="1"/>
  <c r="D12" i="6"/>
  <c r="C9" i="6"/>
  <c r="B6" i="6"/>
  <c r="B7" i="6" s="1"/>
  <c r="C8" i="6" s="1"/>
  <c r="B19" i="6" s="1"/>
  <c r="E36" i="3"/>
  <c r="D36" i="3"/>
  <c r="H53" i="4"/>
  <c r="H55" i="4" s="1"/>
  <c r="E40" i="4"/>
  <c r="D40" i="4"/>
  <c r="E39" i="4"/>
  <c r="D39" i="4"/>
  <c r="D37" i="4"/>
  <c r="D38" i="4" s="1"/>
  <c r="E36" i="4"/>
  <c r="E37" i="4" s="1"/>
  <c r="E38" i="4" s="1"/>
  <c r="E41" i="4" s="1"/>
  <c r="D36" i="4"/>
  <c r="C29" i="4"/>
  <c r="B16" i="4"/>
  <c r="D16" i="4" s="1"/>
  <c r="C15" i="4"/>
  <c r="D15" i="4" s="1"/>
  <c r="B14" i="4"/>
  <c r="C13" i="4"/>
  <c r="C14" i="4" s="1"/>
  <c r="D12" i="4"/>
  <c r="C9" i="4"/>
  <c r="B20" i="4" s="1"/>
  <c r="B6" i="4"/>
  <c r="B7" i="4" s="1"/>
  <c r="C8" i="4" s="1"/>
  <c r="B19" i="4" s="1"/>
  <c r="E36" i="2"/>
  <c r="D36" i="2"/>
  <c r="D41" i="6" l="1"/>
  <c r="D15" i="6"/>
  <c r="C17" i="6"/>
  <c r="D17" i="6" s="1"/>
  <c r="C18" i="6"/>
  <c r="C19" i="6" s="1"/>
  <c r="C20" i="6" s="1"/>
  <c r="E43" i="6"/>
  <c r="E42" i="6"/>
  <c r="D19" i="6"/>
  <c r="D20" i="6"/>
  <c r="C14" i="6"/>
  <c r="D14" i="6" s="1"/>
  <c r="E43" i="4"/>
  <c r="E42" i="4"/>
  <c r="D41" i="4"/>
  <c r="D14" i="4"/>
  <c r="D13" i="4"/>
  <c r="C17" i="4"/>
  <c r="D17" i="4" s="1"/>
  <c r="C18" i="4"/>
  <c r="C19" i="4" s="1"/>
  <c r="C20" i="4" s="1"/>
  <c r="D20" i="4" s="1"/>
  <c r="E40" i="2"/>
  <c r="E39" i="2"/>
  <c r="E37" i="2"/>
  <c r="E38" i="2" s="1"/>
  <c r="E41" i="2" s="1"/>
  <c r="E38" i="3"/>
  <c r="E41" i="3"/>
  <c r="E42" i="3" s="1"/>
  <c r="E40" i="3"/>
  <c r="E39" i="3"/>
  <c r="E37" i="3"/>
  <c r="E44" i="6" l="1"/>
  <c r="D42" i="6"/>
  <c r="D43" i="6"/>
  <c r="D44" i="6" s="1"/>
  <c r="E44" i="4"/>
  <c r="D19" i="4"/>
  <c r="D43" i="4"/>
  <c r="D44" i="4" s="1"/>
  <c r="D42" i="4"/>
  <c r="I44" i="4" s="1"/>
  <c r="E43" i="2"/>
  <c r="E42" i="2"/>
  <c r="E43" i="3"/>
  <c r="E44" i="3" s="1"/>
  <c r="B16" i="2"/>
  <c r="B14" i="2"/>
  <c r="I44" i="6" l="1"/>
  <c r="I53" i="4"/>
  <c r="I52" i="4"/>
  <c r="I51" i="4"/>
  <c r="I50" i="4"/>
  <c r="I49" i="4"/>
  <c r="I48" i="4"/>
  <c r="I54" i="4"/>
  <c r="I47" i="4"/>
  <c r="E44" i="2"/>
  <c r="B14" i="3"/>
  <c r="H53" i="3"/>
  <c r="H55" i="3" s="1"/>
  <c r="D40" i="3"/>
  <c r="D39" i="3"/>
  <c r="D37" i="3"/>
  <c r="D38" i="3" s="1"/>
  <c r="C29" i="3"/>
  <c r="D16" i="3"/>
  <c r="B16" i="3"/>
  <c r="C13" i="3"/>
  <c r="D13" i="3" s="1"/>
  <c r="D12" i="3"/>
  <c r="C9" i="3"/>
  <c r="B20" i="3" s="1"/>
  <c r="B6" i="3"/>
  <c r="B7" i="3" s="1"/>
  <c r="C8" i="3" s="1"/>
  <c r="B19" i="3" s="1"/>
  <c r="I51" i="6" l="1"/>
  <c r="I49" i="6"/>
  <c r="I48" i="6"/>
  <c r="I54" i="6"/>
  <c r="I47" i="6"/>
  <c r="I53" i="6"/>
  <c r="I52" i="6"/>
  <c r="I50" i="6"/>
  <c r="I55" i="4"/>
  <c r="I57" i="4" s="1"/>
  <c r="I58" i="4" s="1"/>
  <c r="B18" i="4" s="1"/>
  <c r="D18" i="4" s="1"/>
  <c r="D21" i="4" s="1"/>
  <c r="C14" i="3"/>
  <c r="C15" i="3"/>
  <c r="D14" i="3"/>
  <c r="D41" i="3"/>
  <c r="D15" i="3"/>
  <c r="H53" i="2"/>
  <c r="H55" i="2" s="1"/>
  <c r="D40" i="2"/>
  <c r="D39" i="2"/>
  <c r="D37" i="2"/>
  <c r="D38" i="2" s="1"/>
  <c r="C29" i="2"/>
  <c r="D16" i="2"/>
  <c r="C13" i="2"/>
  <c r="C15" i="2" s="1"/>
  <c r="D12" i="2"/>
  <c r="C9" i="2"/>
  <c r="B20" i="2" s="1"/>
  <c r="B6" i="2"/>
  <c r="B7" i="2" s="1"/>
  <c r="C8" i="2" s="1"/>
  <c r="B19" i="2" s="1"/>
  <c r="I55" i="6" l="1"/>
  <c r="I57" i="6" s="1"/>
  <c r="I58" i="6" s="1"/>
  <c r="B18" i="6" s="1"/>
  <c r="D18" i="6" s="1"/>
  <c r="D21" i="6" s="1"/>
  <c r="D24" i="4"/>
  <c r="D23" i="4"/>
  <c r="C17" i="3"/>
  <c r="D17" i="3" s="1"/>
  <c r="C18" i="3"/>
  <c r="C19" i="3" s="1"/>
  <c r="D42" i="3"/>
  <c r="D43" i="3"/>
  <c r="D44" i="3" s="1"/>
  <c r="C17" i="2"/>
  <c r="D17" i="2" s="1"/>
  <c r="C18" i="2"/>
  <c r="C19" i="2" s="1"/>
  <c r="C20" i="2" s="1"/>
  <c r="D20" i="2" s="1"/>
  <c r="D13" i="2"/>
  <c r="C14" i="2"/>
  <c r="D14" i="2" s="1"/>
  <c r="D41" i="2"/>
  <c r="D15" i="2"/>
  <c r="D24" i="6" l="1"/>
  <c r="D23" i="6"/>
  <c r="I44" i="3"/>
  <c r="D25" i="4"/>
  <c r="D26" i="4" s="1"/>
  <c r="D28" i="4" s="1"/>
  <c r="D29" i="4" s="1"/>
  <c r="D19" i="2"/>
  <c r="C20" i="3"/>
  <c r="D20" i="3" s="1"/>
  <c r="D19" i="3"/>
  <c r="D43" i="2"/>
  <c r="D42" i="2"/>
  <c r="I44" i="2" s="1"/>
  <c r="D25" i="6" l="1"/>
  <c r="I51" i="3"/>
  <c r="I50" i="3"/>
  <c r="I49" i="3"/>
  <c r="I52" i="3"/>
  <c r="I48" i="3"/>
  <c r="I54" i="3"/>
  <c r="I47" i="3"/>
  <c r="I53" i="3"/>
  <c r="I50" i="2"/>
  <c r="I49" i="2"/>
  <c r="I48" i="2"/>
  <c r="I54" i="2"/>
  <c r="I47" i="2"/>
  <c r="I53" i="2"/>
  <c r="I52" i="2"/>
  <c r="I51" i="2"/>
  <c r="D44" i="2"/>
  <c r="D26" i="6" l="1"/>
  <c r="D28" i="6" s="1"/>
  <c r="D29" i="6" s="1"/>
  <c r="I55" i="3"/>
  <c r="I55" i="2"/>
  <c r="I57" i="2" s="1"/>
  <c r="I58" i="2" s="1"/>
  <c r="B18" i="2" s="1"/>
  <c r="D18" i="2" s="1"/>
  <c r="D21" i="2" s="1"/>
  <c r="I58" i="3" l="1"/>
  <c r="B18" i="3" s="1"/>
  <c r="D18" i="3" s="1"/>
  <c r="D21" i="3" s="1"/>
  <c r="D24" i="3" s="1"/>
  <c r="I57" i="3"/>
  <c r="D24" i="2"/>
  <c r="D23" i="2"/>
  <c r="D23" i="3" l="1"/>
  <c r="D25" i="3" s="1"/>
  <c r="D25" i="2"/>
  <c r="D26" i="2" s="1"/>
  <c r="D28" i="2" s="1"/>
  <c r="D29" i="2" s="1"/>
  <c r="D26" i="3" l="1"/>
  <c r="D28" i="3" s="1"/>
  <c r="D29" i="3" s="1"/>
</calcChain>
</file>

<file path=xl/comments1.xml><?xml version="1.0" encoding="utf-8"?>
<comments xmlns="http://schemas.openxmlformats.org/spreadsheetml/2006/main">
  <authors>
    <author>Oscar Emil Soares</author>
  </authors>
  <commentList>
    <comment ref="D53" authorId="0" shapeId="0">
      <text>
        <r>
          <rPr>
            <b/>
            <sz val="9"/>
            <color indexed="81"/>
            <rFont val="Tahoma"/>
            <family val="2"/>
          </rPr>
          <t>CAPP:</t>
        </r>
        <r>
          <rPr>
            <sz val="9"/>
            <color indexed="81"/>
            <rFont val="Tahoma"/>
            <family val="2"/>
          </rPr>
          <t xml:space="preserve">
Riscos Ambientais do Trabalho = 1%, 2% ou 3%. Depende do CNAE (Classificação Nacional de Atividade Econômica) da empresa.</t>
        </r>
      </text>
    </comment>
    <comment ref="F53" authorId="0" shapeId="0">
      <text>
        <r>
          <rPr>
            <b/>
            <sz val="9"/>
            <color indexed="81"/>
            <rFont val="Tahoma"/>
            <family val="2"/>
          </rPr>
          <t>CAPP:</t>
        </r>
        <r>
          <rPr>
            <sz val="9"/>
            <color indexed="81"/>
            <rFont val="Tahoma"/>
            <family val="2"/>
          </rPr>
          <t xml:space="preserve">
Fator Acidentário de Prevenção (particular de cada empresa)</t>
        </r>
      </text>
    </comment>
    <comment ref="G53" authorId="0" shapeId="0">
      <text>
        <r>
          <rPr>
            <b/>
            <sz val="9"/>
            <color indexed="81"/>
            <rFont val="Tahoma"/>
            <family val="2"/>
          </rPr>
          <t>CAPP:</t>
        </r>
        <r>
          <rPr>
            <sz val="9"/>
            <color indexed="81"/>
            <rFont val="Tahoma"/>
            <family val="2"/>
          </rPr>
          <t xml:space="preserve">
vai de 0,5000 até 2,0000</t>
        </r>
      </text>
    </comment>
  </commentList>
</comments>
</file>

<file path=xl/comments2.xml><?xml version="1.0" encoding="utf-8"?>
<comments xmlns="http://schemas.openxmlformats.org/spreadsheetml/2006/main">
  <authors>
    <author>Oscar Emil Soares</author>
  </authors>
  <commentList>
    <comment ref="D53" authorId="0" shapeId="0">
      <text>
        <r>
          <rPr>
            <b/>
            <sz val="9"/>
            <color indexed="81"/>
            <rFont val="Tahoma"/>
            <family val="2"/>
          </rPr>
          <t>CAPP:</t>
        </r>
        <r>
          <rPr>
            <sz val="9"/>
            <color indexed="81"/>
            <rFont val="Tahoma"/>
            <family val="2"/>
          </rPr>
          <t xml:space="preserve">
Riscos Ambientais do Trabalho = 1%, 2% ou 3%. Depende do CNAE (Classificação Nacional de Atividade Econômica) da empresa.</t>
        </r>
      </text>
    </comment>
    <comment ref="F53" authorId="0" shapeId="0">
      <text>
        <r>
          <rPr>
            <b/>
            <sz val="9"/>
            <color indexed="81"/>
            <rFont val="Tahoma"/>
            <family val="2"/>
          </rPr>
          <t>CAPP:</t>
        </r>
        <r>
          <rPr>
            <sz val="9"/>
            <color indexed="81"/>
            <rFont val="Tahoma"/>
            <family val="2"/>
          </rPr>
          <t xml:space="preserve">
Fator Acidentário de Prevenção (particular de cada empresa)</t>
        </r>
      </text>
    </comment>
    <comment ref="G53" authorId="0" shapeId="0">
      <text>
        <r>
          <rPr>
            <b/>
            <sz val="9"/>
            <color indexed="81"/>
            <rFont val="Tahoma"/>
            <family val="2"/>
          </rPr>
          <t>CAPP:</t>
        </r>
        <r>
          <rPr>
            <sz val="9"/>
            <color indexed="81"/>
            <rFont val="Tahoma"/>
            <family val="2"/>
          </rPr>
          <t xml:space="preserve">
vai de 0,5000 até 2,0000</t>
        </r>
      </text>
    </comment>
  </commentList>
</comments>
</file>

<file path=xl/comments3.xml><?xml version="1.0" encoding="utf-8"?>
<comments xmlns="http://schemas.openxmlformats.org/spreadsheetml/2006/main">
  <authors>
    <author>Oscar Emil Soares</author>
  </authors>
  <commentList>
    <comment ref="D53" authorId="0" shapeId="0">
      <text>
        <r>
          <rPr>
            <b/>
            <sz val="9"/>
            <color indexed="81"/>
            <rFont val="Tahoma"/>
            <family val="2"/>
          </rPr>
          <t>CAPP:</t>
        </r>
        <r>
          <rPr>
            <sz val="9"/>
            <color indexed="81"/>
            <rFont val="Tahoma"/>
            <family val="2"/>
          </rPr>
          <t xml:space="preserve">
Riscos Ambientais do Trabalho = 1%, 2% ou 3%. Depende do CNAE (Classificação Nacional de Atividade Econômica) da empresa.</t>
        </r>
      </text>
    </comment>
    <comment ref="F53" authorId="0" shapeId="0">
      <text>
        <r>
          <rPr>
            <b/>
            <sz val="9"/>
            <color indexed="81"/>
            <rFont val="Tahoma"/>
            <family val="2"/>
          </rPr>
          <t>CAPP:</t>
        </r>
        <r>
          <rPr>
            <sz val="9"/>
            <color indexed="81"/>
            <rFont val="Tahoma"/>
            <family val="2"/>
          </rPr>
          <t xml:space="preserve">
Fator Acidentário de Prevenção (particular de cada empresa)</t>
        </r>
      </text>
    </comment>
    <comment ref="G53" authorId="0" shapeId="0">
      <text>
        <r>
          <rPr>
            <b/>
            <sz val="9"/>
            <color indexed="81"/>
            <rFont val="Tahoma"/>
            <family val="2"/>
          </rPr>
          <t>CAPP:</t>
        </r>
        <r>
          <rPr>
            <sz val="9"/>
            <color indexed="81"/>
            <rFont val="Tahoma"/>
            <family val="2"/>
          </rPr>
          <t xml:space="preserve">
vai de 0,5000 até 2,0000</t>
        </r>
      </text>
    </comment>
  </commentList>
</comments>
</file>

<file path=xl/comments4.xml><?xml version="1.0" encoding="utf-8"?>
<comments xmlns="http://schemas.openxmlformats.org/spreadsheetml/2006/main">
  <authors>
    <author>Oscar Emil Soares</author>
  </authors>
  <commentList>
    <comment ref="D53" authorId="0" shapeId="0">
      <text>
        <r>
          <rPr>
            <b/>
            <sz val="9"/>
            <color indexed="81"/>
            <rFont val="Tahoma"/>
            <family val="2"/>
          </rPr>
          <t>CAPP:</t>
        </r>
        <r>
          <rPr>
            <sz val="9"/>
            <color indexed="81"/>
            <rFont val="Tahoma"/>
            <family val="2"/>
          </rPr>
          <t xml:space="preserve">
Riscos Ambientais do Trabalho = 1%, 2% ou 3%. Depende do CNAE (Classificação Nacional de Atividade Econômica) da empresa.</t>
        </r>
      </text>
    </comment>
    <comment ref="F53" authorId="0" shapeId="0">
      <text>
        <r>
          <rPr>
            <b/>
            <sz val="9"/>
            <color indexed="81"/>
            <rFont val="Tahoma"/>
            <family val="2"/>
          </rPr>
          <t>CAPP:</t>
        </r>
        <r>
          <rPr>
            <sz val="9"/>
            <color indexed="81"/>
            <rFont val="Tahoma"/>
            <family val="2"/>
          </rPr>
          <t xml:space="preserve">
Fator Acidentário de Prevenção (particular de cada empresa)</t>
        </r>
      </text>
    </comment>
    <comment ref="G53" authorId="0" shapeId="0">
      <text>
        <r>
          <rPr>
            <b/>
            <sz val="9"/>
            <color indexed="81"/>
            <rFont val="Tahoma"/>
            <family val="2"/>
          </rPr>
          <t>CAPP:</t>
        </r>
        <r>
          <rPr>
            <sz val="9"/>
            <color indexed="81"/>
            <rFont val="Tahoma"/>
            <family val="2"/>
          </rPr>
          <t xml:space="preserve">
vai de 0,5000 até 2,0000</t>
        </r>
      </text>
    </comment>
  </commentList>
</comments>
</file>

<file path=xl/sharedStrings.xml><?xml version="1.0" encoding="utf-8"?>
<sst xmlns="http://schemas.openxmlformats.org/spreadsheetml/2006/main" count="337" uniqueCount="92">
  <si>
    <t>Item de custo</t>
  </si>
  <si>
    <t>custo/km</t>
  </si>
  <si>
    <t>Diesel</t>
  </si>
  <si>
    <t>Manutenção geral</t>
  </si>
  <si>
    <t>Salário motorista+encargos</t>
  </si>
  <si>
    <t>R$</t>
  </si>
  <si>
    <t>lubrificação mensal</t>
  </si>
  <si>
    <t>Planilha de custos</t>
  </si>
  <si>
    <t>valor R$</t>
  </si>
  <si>
    <t>Custo aquisição máquina</t>
  </si>
  <si>
    <t>Valor residual 30%</t>
  </si>
  <si>
    <t>Base cálculo para depreciação</t>
  </si>
  <si>
    <t>Vida útil e valor depreciação mês</t>
  </si>
  <si>
    <t>Depreciação</t>
  </si>
  <si>
    <t>Custo de oportunidade ano/mês</t>
  </si>
  <si>
    <t>Custo de oportunidade mês</t>
  </si>
  <si>
    <t>Sub-total</t>
  </si>
  <si>
    <t>Tributos incidentes sobre a nota</t>
  </si>
  <si>
    <t>Custos indiretos</t>
  </si>
  <si>
    <t xml:space="preserve">Lucro </t>
  </si>
  <si>
    <t>Cofins 3%; Pis 0,65%; ISSQN 3%</t>
  </si>
  <si>
    <t>IPVA/DPVAT anual</t>
  </si>
  <si>
    <t>produtividade/km</t>
  </si>
  <si>
    <t>kms rodados por mês</t>
  </si>
  <si>
    <t>Custo direto por km</t>
  </si>
  <si>
    <t>Total final do preço por km</t>
  </si>
  <si>
    <t>Seguro passageiros-mensal</t>
  </si>
  <si>
    <t>Pneus 4</t>
  </si>
  <si>
    <t>4.1</t>
  </si>
  <si>
    <t>Encargos Previdenciários e FGTS</t>
  </si>
  <si>
    <t>Percentual (%)</t>
  </si>
  <si>
    <t>Valor (R$)</t>
  </si>
  <si>
    <t>A</t>
  </si>
  <si>
    <t>INSS</t>
  </si>
  <si>
    <t>B</t>
  </si>
  <si>
    <t>SESI ou SESC</t>
  </si>
  <si>
    <t>C</t>
  </si>
  <si>
    <t>SENAI ou SENAC</t>
  </si>
  <si>
    <t>D</t>
  </si>
  <si>
    <t>INCRA</t>
  </si>
  <si>
    <t>E</t>
  </si>
  <si>
    <t>Salário educação</t>
  </si>
  <si>
    <t>F</t>
  </si>
  <si>
    <t>FGTS</t>
  </si>
  <si>
    <t>G</t>
  </si>
  <si>
    <r>
      <t xml:space="preserve">Seguro Acidente de Trabalho =                          SAT = (RAT x FAP)
</t>
    </r>
    <r>
      <rPr>
        <sz val="10"/>
        <color indexed="10"/>
        <rFont val="Arial"/>
        <family val="2"/>
      </rPr>
      <t>SAT =</t>
    </r>
    <r>
      <rPr>
        <b/>
        <sz val="10"/>
        <color indexed="10"/>
        <rFont val="Arial"/>
        <family val="2"/>
      </rPr>
      <t xml:space="preserve"> </t>
    </r>
    <r>
      <rPr>
        <b/>
        <sz val="8"/>
        <color indexed="10"/>
        <rFont val="Arial"/>
        <family val="2"/>
      </rPr>
      <t>( %Riscos Ambientais do Trabalho x Fator Acidentário de Prevenção de cada empresa )</t>
    </r>
  </si>
  <si>
    <t>RAT =</t>
  </si>
  <si>
    <t xml:space="preserve"> FAP =</t>
  </si>
  <si>
    <t>H</t>
  </si>
  <si>
    <t>SEBRAE</t>
  </si>
  <si>
    <t>TOTAL</t>
  </si>
  <si>
    <t>Salário base</t>
  </si>
  <si>
    <t>Insalubridade</t>
  </si>
  <si>
    <t>Vale transporte</t>
  </si>
  <si>
    <t>Vale alimentação</t>
  </si>
  <si>
    <t>Custo total remuneração</t>
  </si>
  <si>
    <t>Provisão 13º salário</t>
  </si>
  <si>
    <t>Provisão férias</t>
  </si>
  <si>
    <t>Custo total mensal com provisões</t>
  </si>
  <si>
    <t>Custo base para encargos</t>
  </si>
  <si>
    <t>Custo base funcionário</t>
  </si>
  <si>
    <t>índice de incidência ref. Utilização funcionário no contrato do município</t>
  </si>
  <si>
    <t>Detalhamento da Composição dos salários</t>
  </si>
  <si>
    <t>Custo total salárial</t>
  </si>
  <si>
    <t>DECLARAÇÕES QUE A EMPRESA LICITANTE DEVE FAZER:</t>
  </si>
  <si>
    <t>A empresa é otante pelo seguinte regime de tributação e recolhe, atualmente, as seguintes alíquotas de tributos:</t>
  </si>
  <si>
    <t>(     ) a) Lucro presumido, recolhendo: Cofins (       %); Pis (       %); IRPJ (        %); CSLL (       %). Após contratar com a prefeitura manterá estas alíquotas; (caso ocorrer alteração nas alíquotas, as mesmas serão as seguintes .......</t>
  </si>
  <si>
    <t>(     ) b) Lucro real, recolhendo: Cofins (       %); Pis (       %); IRPJ (        %); CSLL (       %). Após contratar com a prefeitura manterá estas alíquotas; (caso ocorrer alteração nas alíquotas, as mesmas serão as seguintes .......</t>
  </si>
  <si>
    <t>(     ) c) Simples nacional, recolhendo a alíquota atual de (       %), estando enquandrado no anexo (        );  Com este contrato a empresa passará a recolher aliquota (        %) e passará para o anexo (        ), não se desenquadrará do simples nacional. (OU) Após assinatura do contrato a empresa se descredenciará do simples e passará para a tributação do ..................</t>
  </si>
  <si>
    <t>Observação:</t>
  </si>
  <si>
    <t>Cada empresa é responsável por incluir em sua planilha de custos, os enquadramentos tributários, trabalhistas e previdenciários, de acordo com a realidade tributária e funcional de seu quadro de funcionários. Desta forma, a planilha de custos disponibilizada pela prefeitura representa, apenas, um MODELO REFERENCIAL, e que impõe um limite máximo de valores para a proposta apresentada.</t>
  </si>
  <si>
    <t>Destaca-se, que cada empresa possui a sua realidade tributária e funcional, o município não tem como prever todas as possibilidades de enquadramento funcionais, que são baseadas em acordos sindicais e na legislação trabalhista como um todo.</t>
  </si>
  <si>
    <t>Além disso, para cada cargo ou ambiente de trabalho funcional, alteram-se as condições e enquadramentos, como por exemplo: de insalubridade e EPI (depende do laudo de condições ambientais de trabalho para cada cargo e para cada local de trabalho); Situação de enquadramento tributária e previdenciária (se a empresa é optante pelo simples nacional, lucro presumido ou lucro real);</t>
  </si>
  <si>
    <t>Por fim, as condições e regras de trabalho também são disciplinadas pelos acordos coletivos de trabalho, os quais, a empresa deve observar.</t>
  </si>
  <si>
    <t>Portanto, baseado nestes aspectos, cabe a empresa identificar quais os enquadramentos trabalhistas e tributários corretos para a situação licitada. Ao final do pleito licitatório, ou mesmo, no decorrer da execução contratual, se o município verificar, por meio de recursos à licitação ou denúncias recebidas durante a execução contratual, que no momento da elaboração da proposta e da planilha de custos final, a empresa apresentou um item de custos (na planilha de custos final) diferente do que é exigido na convenção coletiva sindical ou em qualquer legislação trabalhista, visando reduzir o valor de sua proposta financeira, o município poderá considerar tal fato, como uso de má fé por parte da empresa.</t>
  </si>
  <si>
    <t>Assim, com esta prova de má fé por parte do licitante, o município poderá desabilitar a empresa durante o processo licitatório, ou mesmo, rescindir o contrato em vigor, pelo bem do serviço público.</t>
  </si>
  <si>
    <t>Como no Brasil existem muitos sindicatos, cabe a empresa apontar em qual dissídio e sindicato, seus colaboradores serão enquadrados, observando-se as regras dos mesmos.</t>
  </si>
  <si>
    <t>CCT - SETCERGS</t>
  </si>
  <si>
    <t>2024 estimado com 7% de reposição</t>
  </si>
  <si>
    <t>Pneus 10</t>
  </si>
  <si>
    <t>motorista</t>
  </si>
  <si>
    <t>monitor</t>
  </si>
  <si>
    <t>Onbus 50 lugares</t>
  </si>
  <si>
    <t>Faturamento mensal por veículo</t>
  </si>
  <si>
    <t>2025 estimado com 7% de reposição</t>
  </si>
  <si>
    <t>Linha: 1</t>
  </si>
  <si>
    <t>Linha: 2</t>
  </si>
  <si>
    <t>Linha: 3</t>
  </si>
  <si>
    <t>Linha 4</t>
  </si>
  <si>
    <t>Micro onibus 28 lugares</t>
  </si>
  <si>
    <t>Linha 5</t>
  </si>
  <si>
    <t>Micro onibus 31 lugares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</si>
</sst>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-;\-* #,##0.00_-;_-* &quot;-&quot;??_-;_-@_-"/>
    <numFmt numFmtId="165" formatCode="_(* #,##0.00_);_(* \(#,##0.00\);_(* &quot;-&quot;??_);_(@_)"/>
    <numFmt numFmtId="166" formatCode="0.0000"/>
    <numFmt numFmtId="167" formatCode="0.0000%"/>
    <numFmt numFmtId="168" formatCode="_-* #,##0_-;\-* #,##0_-;_-* &quot;-&quot;??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1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sz val="8"/>
      <color indexed="1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color indexed="8"/>
      <name val="Calibri"/>
      <family val="2"/>
      <charset val="1"/>
    </font>
    <font>
      <b/>
      <sz val="11"/>
      <color indexed="8"/>
      <name val="Calibri"/>
      <family val="2"/>
    </font>
    <font>
      <sz val="10"/>
      <color rgb="FF000000"/>
      <name val="Times New Roman"/>
      <family val="1"/>
    </font>
    <font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10" fillId="0" borderId="0"/>
  </cellStyleXfs>
  <cellXfs count="64">
    <xf numFmtId="0" fontId="0" fillId="0" borderId="0" xfId="0"/>
    <xf numFmtId="0" fontId="3" fillId="0" borderId="1" xfId="0" applyFont="1" applyBorder="1" applyAlignment="1">
      <alignment horizontal="center"/>
    </xf>
    <xf numFmtId="0" fontId="0" fillId="0" borderId="1" xfId="0" applyBorder="1"/>
    <xf numFmtId="164" fontId="0" fillId="0" borderId="1" xfId="1" applyFont="1" applyBorder="1"/>
    <xf numFmtId="0" fontId="3" fillId="0" borderId="1" xfId="0" applyFont="1" applyBorder="1"/>
    <xf numFmtId="165" fontId="3" fillId="0" borderId="1" xfId="0" applyNumberFormat="1" applyFont="1" applyBorder="1"/>
    <xf numFmtId="164" fontId="3" fillId="0" borderId="0" xfId="1" applyFont="1" applyAlignment="1">
      <alignment horizontal="center"/>
    </xf>
    <xf numFmtId="164" fontId="3" fillId="0" borderId="0" xfId="0" applyNumberFormat="1" applyFont="1" applyAlignment="1">
      <alignment horizontal="center"/>
    </xf>
    <xf numFmtId="164" fontId="0" fillId="0" borderId="1" xfId="0" applyNumberFormat="1" applyBorder="1"/>
    <xf numFmtId="0" fontId="2" fillId="0" borderId="0" xfId="0" applyFont="1"/>
    <xf numFmtId="9" fontId="0" fillId="0" borderId="1" xfId="0" applyNumberFormat="1" applyBorder="1"/>
    <xf numFmtId="0" fontId="2" fillId="0" borderId="1" xfId="0" applyFont="1" applyBorder="1"/>
    <xf numFmtId="164" fontId="2" fillId="0" borderId="1" xfId="0" applyNumberFormat="1" applyFont="1" applyBorder="1"/>
    <xf numFmtId="10" fontId="0" fillId="0" borderId="1" xfId="0" applyNumberFormat="1" applyBorder="1"/>
    <xf numFmtId="10" fontId="3" fillId="0" borderId="0" xfId="0" applyNumberFormat="1" applyFont="1" applyAlignment="1">
      <alignment horizontal="center"/>
    </xf>
    <xf numFmtId="0" fontId="0" fillId="0" borderId="1" xfId="0" applyFill="1" applyBorder="1"/>
    <xf numFmtId="0" fontId="4" fillId="2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10" fontId="3" fillId="3" borderId="1" xfId="0" applyNumberFormat="1" applyFont="1" applyFill="1" applyBorder="1" applyAlignment="1">
      <alignment horizontal="right" vertical="center"/>
    </xf>
    <xf numFmtId="4" fontId="3" fillId="0" borderId="1" xfId="0" applyNumberFormat="1" applyFont="1" applyFill="1" applyBorder="1" applyAlignment="1">
      <alignment horizontal="right" vertical="center"/>
    </xf>
    <xf numFmtId="10" fontId="3" fillId="0" borderId="1" xfId="0" applyNumberFormat="1" applyFont="1" applyFill="1" applyBorder="1" applyAlignment="1">
      <alignment horizontal="right" vertical="center"/>
    </xf>
    <xf numFmtId="0" fontId="3" fillId="0" borderId="1" xfId="0" applyFont="1" applyBorder="1" applyAlignment="1">
      <alignment horizontal="right" vertical="center" wrapText="1"/>
    </xf>
    <xf numFmtId="9" fontId="3" fillId="3" borderId="1" xfId="0" applyNumberFormat="1" applyFont="1" applyFill="1" applyBorder="1" applyAlignment="1">
      <alignment horizontal="center" vertical="center" wrapText="1"/>
    </xf>
    <xf numFmtId="166" fontId="3" fillId="3" borderId="1" xfId="0" applyNumberFormat="1" applyFont="1" applyFill="1" applyBorder="1" applyAlignment="1">
      <alignment horizontal="center" vertical="center" wrapText="1"/>
    </xf>
    <xf numFmtId="167" fontId="3" fillId="0" borderId="1" xfId="0" applyNumberFormat="1" applyFont="1" applyBorder="1" applyAlignment="1">
      <alignment horizontal="right" vertical="center"/>
    </xf>
    <xf numFmtId="167" fontId="3" fillId="2" borderId="1" xfId="0" applyNumberFormat="1" applyFont="1" applyFill="1" applyBorder="1" applyAlignment="1">
      <alignment horizontal="right" vertical="center"/>
    </xf>
    <xf numFmtId="4" fontId="3" fillId="2" borderId="1" xfId="0" applyNumberFormat="1" applyFont="1" applyFill="1" applyBorder="1" applyAlignment="1">
      <alignment horizontal="right" vertical="center"/>
    </xf>
    <xf numFmtId="164" fontId="2" fillId="0" borderId="0" xfId="0" applyNumberFormat="1" applyFont="1"/>
    <xf numFmtId="164" fontId="2" fillId="0" borderId="1" xfId="1" applyFont="1" applyBorder="1"/>
    <xf numFmtId="0" fontId="2" fillId="0" borderId="1" xfId="0" applyFont="1" applyBorder="1" applyAlignment="1">
      <alignment horizontal="right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/>
    </xf>
    <xf numFmtId="0" fontId="11" fillId="4" borderId="0" xfId="2" applyFont="1" applyFill="1"/>
    <xf numFmtId="0" fontId="10" fillId="4" borderId="0" xfId="2" applyFill="1"/>
    <xf numFmtId="0" fontId="3" fillId="0" borderId="0" xfId="0" applyFont="1" applyAlignment="1">
      <alignment vertical="center"/>
    </xf>
    <xf numFmtId="0" fontId="0" fillId="0" borderId="0" xfId="0" applyAlignment="1">
      <alignment vertical="center"/>
    </xf>
    <xf numFmtId="0" fontId="3" fillId="0" borderId="0" xfId="0" applyFont="1" applyAlignment="1">
      <alignment horizontal="center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center"/>
    </xf>
    <xf numFmtId="168" fontId="0" fillId="0" borderId="0" xfId="0" applyNumberFormat="1"/>
    <xf numFmtId="9" fontId="0" fillId="5" borderId="1" xfId="0" applyNumberFormat="1" applyFill="1" applyBorder="1"/>
    <xf numFmtId="164" fontId="0" fillId="0" borderId="0" xfId="0" applyNumberForma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0" fillId="4" borderId="0" xfId="2" applyFill="1" applyAlignment="1">
      <alignment horizontal="left" wrapText="1"/>
    </xf>
    <xf numFmtId="0" fontId="3" fillId="0" borderId="0" xfId="0" applyFont="1" applyAlignment="1">
      <alignment horizont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3" fillId="2" borderId="2" xfId="0" applyFont="1" applyFill="1" applyBorder="1" applyAlignment="1">
      <alignment horizontal="right" vertical="center"/>
    </xf>
    <xf numFmtId="0" fontId="0" fillId="2" borderId="3" xfId="0" applyFill="1" applyBorder="1" applyAlignment="1">
      <alignment horizontal="right" vertical="center"/>
    </xf>
    <xf numFmtId="0" fontId="0" fillId="2" borderId="4" xfId="0" applyFill="1" applyBorder="1" applyAlignment="1">
      <alignment horizontal="right" vertical="center"/>
    </xf>
    <xf numFmtId="0" fontId="0" fillId="0" borderId="0" xfId="0" applyAlignment="1">
      <alignment horizontal="left" vertical="center" wrapText="1"/>
    </xf>
    <xf numFmtId="0" fontId="12" fillId="0" borderId="0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right"/>
    </xf>
  </cellXfs>
  <cellStyles count="3">
    <cellStyle name="Excel Built-in Normal" xfId="2"/>
    <cellStyle name="Normal" xfId="0" builtinId="0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77"/>
  <sheetViews>
    <sheetView tabSelected="1" zoomScale="120" zoomScaleNormal="120" workbookViewId="0">
      <selection activeCell="B13" sqref="B13"/>
    </sheetView>
  </sheetViews>
  <sheetFormatPr defaultRowHeight="14.4" x14ac:dyDescent="0.3"/>
  <cols>
    <col min="1" max="1" width="32.33203125" bestFit="1" customWidth="1"/>
    <col min="2" max="2" width="11.33203125" bestFit="1" customWidth="1"/>
    <col min="3" max="3" width="17" bestFit="1" customWidth="1"/>
    <col min="4" max="4" width="10.5546875" bestFit="1" customWidth="1"/>
    <col min="5" max="5" width="10.6640625" customWidth="1"/>
    <col min="6" max="6" width="10.5546875" bestFit="1" customWidth="1"/>
    <col min="8" max="8" width="9.33203125" bestFit="1" customWidth="1"/>
    <col min="9" max="9" width="9.5546875" bestFit="1" customWidth="1"/>
  </cols>
  <sheetData>
    <row r="1" spans="1:6" x14ac:dyDescent="0.3">
      <c r="A1" s="46" t="s">
        <v>7</v>
      </c>
      <c r="B1" s="46"/>
      <c r="C1" s="46"/>
      <c r="D1" s="46"/>
      <c r="E1" s="46"/>
      <c r="F1" s="46"/>
    </row>
    <row r="2" spans="1:6" x14ac:dyDescent="0.3">
      <c r="A2" s="37"/>
      <c r="B2" s="38"/>
      <c r="C2" s="37"/>
      <c r="D2" s="39"/>
      <c r="E2" s="37"/>
      <c r="F2" s="37"/>
    </row>
    <row r="3" spans="1:6" x14ac:dyDescent="0.3">
      <c r="A3" s="9" t="s">
        <v>82</v>
      </c>
      <c r="B3" t="s">
        <v>23</v>
      </c>
      <c r="D3">
        <v>1600</v>
      </c>
      <c r="E3" s="63" t="s">
        <v>85</v>
      </c>
    </row>
    <row r="4" spans="1:6" x14ac:dyDescent="0.3">
      <c r="E4" s="63" t="s">
        <v>87</v>
      </c>
    </row>
    <row r="5" spans="1:6" x14ac:dyDescent="0.3">
      <c r="A5" s="37" t="s">
        <v>9</v>
      </c>
      <c r="B5" s="6">
        <v>150000</v>
      </c>
      <c r="C5" s="37"/>
    </row>
    <row r="6" spans="1:6" x14ac:dyDescent="0.3">
      <c r="A6" s="37" t="s">
        <v>10</v>
      </c>
      <c r="B6" s="6">
        <f>B5*30%</f>
        <v>45000</v>
      </c>
      <c r="C6" s="37"/>
      <c r="D6" s="37"/>
      <c r="E6" s="37"/>
      <c r="F6" s="37"/>
    </row>
    <row r="7" spans="1:6" x14ac:dyDescent="0.3">
      <c r="A7" s="37" t="s">
        <v>11</v>
      </c>
      <c r="B7" s="6">
        <f>B5-B6</f>
        <v>105000</v>
      </c>
      <c r="C7" s="37"/>
      <c r="D7" s="37"/>
      <c r="E7" s="37"/>
      <c r="F7" s="37"/>
    </row>
    <row r="8" spans="1:6" x14ac:dyDescent="0.3">
      <c r="A8" s="37" t="s">
        <v>12</v>
      </c>
      <c r="B8" s="6">
        <v>60</v>
      </c>
      <c r="C8" s="6">
        <f>B7/B8</f>
        <v>1750</v>
      </c>
      <c r="D8" s="37"/>
      <c r="E8" s="37"/>
      <c r="F8" s="37"/>
    </row>
    <row r="9" spans="1:6" x14ac:dyDescent="0.3">
      <c r="A9" s="37" t="s">
        <v>14</v>
      </c>
      <c r="B9" s="14">
        <v>0.14749999999999999</v>
      </c>
      <c r="C9" s="7">
        <f>B5*B9/12</f>
        <v>1843.75</v>
      </c>
      <c r="D9" s="37"/>
      <c r="E9" s="37"/>
      <c r="F9" s="37"/>
    </row>
    <row r="11" spans="1:6" x14ac:dyDescent="0.3">
      <c r="A11" s="1" t="s">
        <v>0</v>
      </c>
      <c r="B11" s="1" t="s">
        <v>8</v>
      </c>
      <c r="C11" s="1" t="s">
        <v>22</v>
      </c>
      <c r="D11" s="1" t="s">
        <v>1</v>
      </c>
    </row>
    <row r="12" spans="1:6" x14ac:dyDescent="0.3">
      <c r="A12" s="2" t="s">
        <v>2</v>
      </c>
      <c r="B12" s="2">
        <v>5.5</v>
      </c>
      <c r="C12" s="2">
        <v>4</v>
      </c>
      <c r="D12" s="3">
        <f t="shared" ref="D12:D20" si="0">B12/C12</f>
        <v>1.375</v>
      </c>
    </row>
    <row r="13" spans="1:6" x14ac:dyDescent="0.3">
      <c r="A13" s="2" t="s">
        <v>6</v>
      </c>
      <c r="B13" s="3">
        <v>300</v>
      </c>
      <c r="C13" s="2">
        <f>D3</f>
        <v>1600</v>
      </c>
      <c r="D13" s="3">
        <f t="shared" si="0"/>
        <v>0.1875</v>
      </c>
    </row>
    <row r="14" spans="1:6" x14ac:dyDescent="0.3">
      <c r="A14" s="2" t="s">
        <v>21</v>
      </c>
      <c r="B14" s="3">
        <f>B5*3%</f>
        <v>4500</v>
      </c>
      <c r="C14" s="2">
        <f>C13*12</f>
        <v>19200</v>
      </c>
      <c r="D14" s="3">
        <f t="shared" si="0"/>
        <v>0.234375</v>
      </c>
    </row>
    <row r="15" spans="1:6" x14ac:dyDescent="0.3">
      <c r="A15" s="2" t="s">
        <v>3</v>
      </c>
      <c r="B15" s="3">
        <v>400</v>
      </c>
      <c r="C15" s="2">
        <f>C13</f>
        <v>1600</v>
      </c>
      <c r="D15" s="3">
        <f t="shared" si="0"/>
        <v>0.25</v>
      </c>
    </row>
    <row r="16" spans="1:6" x14ac:dyDescent="0.3">
      <c r="A16" s="2" t="s">
        <v>79</v>
      </c>
      <c r="B16" s="3">
        <f>1950*10</f>
        <v>19500</v>
      </c>
      <c r="C16" s="2">
        <v>80000</v>
      </c>
      <c r="D16" s="3">
        <f t="shared" si="0"/>
        <v>0.24374999999999999</v>
      </c>
    </row>
    <row r="17" spans="1:4" x14ac:dyDescent="0.3">
      <c r="A17" s="2" t="s">
        <v>26</v>
      </c>
      <c r="B17" s="3">
        <v>250</v>
      </c>
      <c r="C17" s="2">
        <f>C15</f>
        <v>1600</v>
      </c>
      <c r="D17" s="3">
        <f t="shared" si="0"/>
        <v>0.15625</v>
      </c>
    </row>
    <row r="18" spans="1:4" x14ac:dyDescent="0.3">
      <c r="A18" s="2" t="s">
        <v>4</v>
      </c>
      <c r="B18" s="3">
        <f>I58</f>
        <v>5212.1109777777783</v>
      </c>
      <c r="C18" s="2">
        <f>C15</f>
        <v>1600</v>
      </c>
      <c r="D18" s="3">
        <f t="shared" si="0"/>
        <v>3.2575693611111114</v>
      </c>
    </row>
    <row r="19" spans="1:4" x14ac:dyDescent="0.3">
      <c r="A19" s="2" t="s">
        <v>13</v>
      </c>
      <c r="B19" s="3">
        <f>C8</f>
        <v>1750</v>
      </c>
      <c r="C19" s="2">
        <f>C18</f>
        <v>1600</v>
      </c>
      <c r="D19" s="3">
        <f t="shared" si="0"/>
        <v>1.09375</v>
      </c>
    </row>
    <row r="20" spans="1:4" x14ac:dyDescent="0.3">
      <c r="A20" s="2" t="s">
        <v>15</v>
      </c>
      <c r="B20" s="8">
        <f>C9</f>
        <v>1843.75</v>
      </c>
      <c r="C20" s="2">
        <f>C19</f>
        <v>1600</v>
      </c>
      <c r="D20" s="3">
        <f t="shared" si="0"/>
        <v>1.15234375</v>
      </c>
    </row>
    <row r="21" spans="1:4" x14ac:dyDescent="0.3">
      <c r="A21" s="4" t="s">
        <v>24</v>
      </c>
      <c r="B21" s="4"/>
      <c r="C21" s="4" t="s">
        <v>5</v>
      </c>
      <c r="D21" s="5">
        <f>SUM(D12:D20)</f>
        <v>7.9505381111111113</v>
      </c>
    </row>
    <row r="23" spans="1:4" x14ac:dyDescent="0.3">
      <c r="A23" s="2" t="s">
        <v>18</v>
      </c>
      <c r="B23" s="2"/>
      <c r="C23" s="10">
        <v>0.08</v>
      </c>
      <c r="D23" s="8">
        <f>D21*C23</f>
        <v>0.63604304888888896</v>
      </c>
    </row>
    <row r="24" spans="1:4" x14ac:dyDescent="0.3">
      <c r="A24" s="2" t="s">
        <v>19</v>
      </c>
      <c r="B24" s="2"/>
      <c r="C24" s="10">
        <v>0.08</v>
      </c>
      <c r="D24" s="8">
        <f>D21*C24</f>
        <v>0.63604304888888896</v>
      </c>
    </row>
    <row r="25" spans="1:4" x14ac:dyDescent="0.3">
      <c r="A25" s="11" t="s">
        <v>16</v>
      </c>
      <c r="B25" s="11"/>
      <c r="C25" s="11"/>
      <c r="D25" s="12">
        <f>D24+D23+D21</f>
        <v>9.2226242088888899</v>
      </c>
    </row>
    <row r="26" spans="1:4" x14ac:dyDescent="0.3">
      <c r="A26" s="2" t="s">
        <v>17</v>
      </c>
      <c r="B26" s="2"/>
      <c r="C26" s="13">
        <v>6.6500000000000004E-2</v>
      </c>
      <c r="D26" s="8">
        <f>D25*C26</f>
        <v>0.61330450989111118</v>
      </c>
    </row>
    <row r="27" spans="1:4" x14ac:dyDescent="0.3">
      <c r="A27" s="2" t="s">
        <v>20</v>
      </c>
      <c r="B27" s="2"/>
      <c r="C27" s="10"/>
      <c r="D27" s="8"/>
    </row>
    <row r="28" spans="1:4" x14ac:dyDescent="0.3">
      <c r="A28" s="11" t="s">
        <v>25</v>
      </c>
      <c r="B28" s="11"/>
      <c r="C28" s="11"/>
      <c r="D28" s="12">
        <f>D25+D26</f>
        <v>9.8359287187800017</v>
      </c>
    </row>
    <row r="29" spans="1:4" x14ac:dyDescent="0.3">
      <c r="A29" s="15" t="s">
        <v>83</v>
      </c>
      <c r="B29" s="2"/>
      <c r="C29" s="2">
        <f>D3</f>
        <v>1600</v>
      </c>
      <c r="D29" s="8">
        <f>D28*C29</f>
        <v>15737.485950048003</v>
      </c>
    </row>
    <row r="31" spans="1:4" x14ac:dyDescent="0.3">
      <c r="D31" s="42"/>
    </row>
    <row r="34" spans="1:9" x14ac:dyDescent="0.3">
      <c r="C34" t="s">
        <v>77</v>
      </c>
      <c r="D34" s="40" t="s">
        <v>84</v>
      </c>
    </row>
    <row r="35" spans="1:9" x14ac:dyDescent="0.3">
      <c r="A35" s="9" t="s">
        <v>62</v>
      </c>
      <c r="D35" s="9" t="s">
        <v>80</v>
      </c>
      <c r="E35" s="43" t="s">
        <v>81</v>
      </c>
    </row>
    <row r="36" spans="1:9" x14ac:dyDescent="0.3">
      <c r="A36" s="2" t="s">
        <v>51</v>
      </c>
      <c r="B36" s="2"/>
      <c r="C36" s="2"/>
      <c r="D36" s="3">
        <f>2075.32*1.07</f>
        <v>2220.5924000000005</v>
      </c>
      <c r="E36" s="2">
        <f>1576.62*1.07</f>
        <v>1686.9834000000001</v>
      </c>
    </row>
    <row r="37" spans="1:9" x14ac:dyDescent="0.3">
      <c r="A37" s="2" t="s">
        <v>52</v>
      </c>
      <c r="B37" s="10">
        <v>0.2</v>
      </c>
      <c r="C37" s="2"/>
      <c r="D37" s="8">
        <f>D36*B37</f>
        <v>444.11848000000009</v>
      </c>
      <c r="E37" s="2">
        <f>E36*B37</f>
        <v>337.39668000000006</v>
      </c>
    </row>
    <row r="38" spans="1:9" x14ac:dyDescent="0.3">
      <c r="A38" s="30" t="s">
        <v>60</v>
      </c>
      <c r="B38" s="10"/>
      <c r="C38" s="8"/>
      <c r="D38" s="12">
        <f>D37+D36</f>
        <v>2664.7108800000005</v>
      </c>
      <c r="E38" s="12">
        <f>E37+E36</f>
        <v>2024.3800800000001</v>
      </c>
    </row>
    <row r="39" spans="1:9" x14ac:dyDescent="0.3">
      <c r="A39" s="2" t="s">
        <v>53</v>
      </c>
      <c r="B39" s="2">
        <v>20</v>
      </c>
      <c r="C39" s="3">
        <v>8</v>
      </c>
      <c r="D39" s="3">
        <f>C39*B39</f>
        <v>160</v>
      </c>
      <c r="E39" s="8">
        <f>B39*C39</f>
        <v>160</v>
      </c>
    </row>
    <row r="40" spans="1:9" x14ac:dyDescent="0.3">
      <c r="A40" s="2" t="s">
        <v>54</v>
      </c>
      <c r="B40" s="2">
        <v>20</v>
      </c>
      <c r="C40" s="3">
        <v>6</v>
      </c>
      <c r="D40" s="3">
        <f>B40*C40</f>
        <v>120</v>
      </c>
      <c r="E40" s="8">
        <f>B40*C40</f>
        <v>120</v>
      </c>
    </row>
    <row r="41" spans="1:9" x14ac:dyDescent="0.3">
      <c r="A41" s="11" t="s">
        <v>55</v>
      </c>
      <c r="B41" s="11"/>
      <c r="C41" s="11"/>
      <c r="D41" s="12">
        <f>SUM(D38:D40)</f>
        <v>2944.7108800000005</v>
      </c>
      <c r="E41" s="12">
        <f>SUM(E38:E40)</f>
        <v>2304.3800799999999</v>
      </c>
    </row>
    <row r="42" spans="1:9" x14ac:dyDescent="0.3">
      <c r="A42" s="2" t="s">
        <v>56</v>
      </c>
      <c r="B42" s="2"/>
      <c r="C42" s="2"/>
      <c r="D42" s="8">
        <f>D41/12</f>
        <v>245.39257333333339</v>
      </c>
      <c r="E42" s="8">
        <f>E41/12</f>
        <v>192.03167333333332</v>
      </c>
    </row>
    <row r="43" spans="1:9" x14ac:dyDescent="0.3">
      <c r="A43" s="2" t="s">
        <v>57</v>
      </c>
      <c r="B43" s="2"/>
      <c r="C43" s="2"/>
      <c r="D43" s="3">
        <f>(D41/3)/12</f>
        <v>81.797524444444463</v>
      </c>
      <c r="E43" s="3">
        <f>(E41/3)/12</f>
        <v>64.010557777777777</v>
      </c>
    </row>
    <row r="44" spans="1:9" x14ac:dyDescent="0.3">
      <c r="A44" s="11" t="s">
        <v>58</v>
      </c>
      <c r="B44" s="11"/>
      <c r="C44" s="11"/>
      <c r="D44" s="29">
        <f>D43+D42+D41</f>
        <v>3271.9009777777783</v>
      </c>
      <c r="E44" s="29">
        <f>E43+E42+E41</f>
        <v>2560.422311111111</v>
      </c>
      <c r="F44" s="9" t="s">
        <v>59</v>
      </c>
      <c r="G44" s="9"/>
      <c r="H44" s="9"/>
      <c r="I44" s="28">
        <f>D38+D42+D43+E38+E42+E43</f>
        <v>5272.3232888888897</v>
      </c>
    </row>
    <row r="46" spans="1:9" ht="27.6" x14ac:dyDescent="0.3">
      <c r="A46" s="16" t="s">
        <v>28</v>
      </c>
      <c r="B46" s="47" t="s">
        <v>29</v>
      </c>
      <c r="C46" s="48"/>
      <c r="D46" s="48"/>
      <c r="E46" s="48"/>
      <c r="F46" s="48"/>
      <c r="G46" s="49"/>
      <c r="H46" s="17" t="s">
        <v>30</v>
      </c>
      <c r="I46" s="17" t="s">
        <v>31</v>
      </c>
    </row>
    <row r="47" spans="1:9" x14ac:dyDescent="0.3">
      <c r="A47" s="18" t="s">
        <v>32</v>
      </c>
      <c r="B47" s="50" t="s">
        <v>33</v>
      </c>
      <c r="C47" s="51"/>
      <c r="D47" s="51"/>
      <c r="E47" s="51"/>
      <c r="F47" s="51"/>
      <c r="G47" s="52"/>
      <c r="H47" s="19">
        <v>0.2</v>
      </c>
      <c r="I47" s="20">
        <f>$I$44*H47</f>
        <v>1054.464657777778</v>
      </c>
    </row>
    <row r="48" spans="1:9" x14ac:dyDescent="0.3">
      <c r="A48" s="18" t="s">
        <v>34</v>
      </c>
      <c r="B48" s="50" t="s">
        <v>35</v>
      </c>
      <c r="C48" s="51"/>
      <c r="D48" s="51"/>
      <c r="E48" s="51"/>
      <c r="F48" s="51"/>
      <c r="G48" s="52"/>
      <c r="H48" s="19">
        <v>1.4999999999999999E-2</v>
      </c>
      <c r="I48" s="20">
        <f t="shared" ref="I48:I54" si="1">$I$44*H48</f>
        <v>79.084849333333338</v>
      </c>
    </row>
    <row r="49" spans="1:9" x14ac:dyDescent="0.3">
      <c r="A49" s="18" t="s">
        <v>36</v>
      </c>
      <c r="B49" s="50" t="s">
        <v>37</v>
      </c>
      <c r="C49" s="51"/>
      <c r="D49" s="51"/>
      <c r="E49" s="51"/>
      <c r="F49" s="51"/>
      <c r="G49" s="52"/>
      <c r="H49" s="19">
        <v>0.01</v>
      </c>
      <c r="I49" s="20">
        <f t="shared" si="1"/>
        <v>52.723232888888901</v>
      </c>
    </row>
    <row r="50" spans="1:9" x14ac:dyDescent="0.3">
      <c r="A50" s="18" t="s">
        <v>38</v>
      </c>
      <c r="B50" s="50" t="s">
        <v>39</v>
      </c>
      <c r="C50" s="51"/>
      <c r="D50" s="51"/>
      <c r="E50" s="51"/>
      <c r="F50" s="51"/>
      <c r="G50" s="52"/>
      <c r="H50" s="19">
        <v>2E-3</v>
      </c>
      <c r="I50" s="20">
        <f t="shared" si="1"/>
        <v>10.54464657777778</v>
      </c>
    </row>
    <row r="51" spans="1:9" x14ac:dyDescent="0.3">
      <c r="A51" s="18" t="s">
        <v>40</v>
      </c>
      <c r="B51" s="53" t="s">
        <v>41</v>
      </c>
      <c r="C51" s="54"/>
      <c r="D51" s="54"/>
      <c r="E51" s="54"/>
      <c r="F51" s="54"/>
      <c r="G51" s="55"/>
      <c r="H51" s="19">
        <v>2.5000000000000001E-2</v>
      </c>
      <c r="I51" s="20">
        <f t="shared" si="1"/>
        <v>131.80808222222225</v>
      </c>
    </row>
    <row r="52" spans="1:9" x14ac:dyDescent="0.3">
      <c r="A52" s="18" t="s">
        <v>42</v>
      </c>
      <c r="B52" s="53" t="s">
        <v>43</v>
      </c>
      <c r="C52" s="54"/>
      <c r="D52" s="54"/>
      <c r="E52" s="54"/>
      <c r="F52" s="54"/>
      <c r="G52" s="55"/>
      <c r="H52" s="21">
        <v>0.08</v>
      </c>
      <c r="I52" s="20">
        <f t="shared" si="1"/>
        <v>421.78586311111121</v>
      </c>
    </row>
    <row r="53" spans="1:9" x14ac:dyDescent="0.3">
      <c r="A53" s="18" t="s">
        <v>44</v>
      </c>
      <c r="B53" s="56" t="s">
        <v>45</v>
      </c>
      <c r="C53" s="57"/>
      <c r="D53" s="22" t="s">
        <v>46</v>
      </c>
      <c r="E53" s="23">
        <v>0.03</v>
      </c>
      <c r="F53" s="22" t="s">
        <v>47</v>
      </c>
      <c r="G53" s="24">
        <v>1</v>
      </c>
      <c r="H53" s="25">
        <f>ROUND((E53*G53),6)</f>
        <v>0.03</v>
      </c>
      <c r="I53" s="20">
        <f t="shared" si="1"/>
        <v>158.16969866666668</v>
      </c>
    </row>
    <row r="54" spans="1:9" x14ac:dyDescent="0.3">
      <c r="A54" s="18" t="s">
        <v>48</v>
      </c>
      <c r="B54" s="53" t="s">
        <v>49</v>
      </c>
      <c r="C54" s="54"/>
      <c r="D54" s="54"/>
      <c r="E54" s="54"/>
      <c r="F54" s="54"/>
      <c r="G54" s="55"/>
      <c r="H54" s="19">
        <v>6.0000000000000001E-3</v>
      </c>
      <c r="I54" s="20">
        <f t="shared" si="1"/>
        <v>31.633939733333339</v>
      </c>
    </row>
    <row r="55" spans="1:9" x14ac:dyDescent="0.3">
      <c r="A55" s="58" t="s">
        <v>50</v>
      </c>
      <c r="B55" s="59"/>
      <c r="C55" s="59"/>
      <c r="D55" s="59"/>
      <c r="E55" s="59"/>
      <c r="F55" s="59"/>
      <c r="G55" s="60"/>
      <c r="H55" s="26">
        <f>SUM(H47:H54)</f>
        <v>0.3680000000000001</v>
      </c>
      <c r="I55" s="27">
        <f>TRUNC(SUM(I47:I54),2)</f>
        <v>1940.21</v>
      </c>
    </row>
    <row r="57" spans="1:9" x14ac:dyDescent="0.3">
      <c r="A57" s="31" t="s">
        <v>63</v>
      </c>
      <c r="B57" s="2"/>
      <c r="C57" s="2"/>
      <c r="D57" s="2"/>
      <c r="E57" s="2"/>
      <c r="F57" s="2"/>
      <c r="G57" s="2"/>
      <c r="H57" s="2"/>
      <c r="I57" s="12">
        <f>D44+I55</f>
        <v>5212.1109777777783</v>
      </c>
    </row>
    <row r="58" spans="1:9" x14ac:dyDescent="0.3">
      <c r="A58" s="32" t="s">
        <v>61</v>
      </c>
      <c r="B58" s="2"/>
      <c r="C58" s="2"/>
      <c r="D58" s="2"/>
      <c r="E58" s="2"/>
      <c r="F58" s="2"/>
      <c r="G58" s="2"/>
      <c r="H58" s="41">
        <v>1</v>
      </c>
      <c r="I58" s="12">
        <f>I57*H58</f>
        <v>5212.1109777777783</v>
      </c>
    </row>
    <row r="62" spans="1:9" x14ac:dyDescent="0.3">
      <c r="A62" s="33" t="s">
        <v>64</v>
      </c>
    </row>
    <row r="63" spans="1:9" x14ac:dyDescent="0.3">
      <c r="A63" s="34" t="s">
        <v>65</v>
      </c>
    </row>
    <row r="64" spans="1:9" ht="28.5" customHeight="1" x14ac:dyDescent="0.3">
      <c r="A64" s="45" t="s">
        <v>66</v>
      </c>
      <c r="B64" s="45"/>
      <c r="C64" s="45"/>
      <c r="D64" s="45"/>
      <c r="E64" s="45"/>
      <c r="F64" s="45"/>
      <c r="G64" s="45"/>
      <c r="H64" s="45"/>
      <c r="I64" s="45"/>
    </row>
    <row r="65" spans="1:9" ht="32.25" customHeight="1" x14ac:dyDescent="0.3">
      <c r="A65" s="45" t="s">
        <v>67</v>
      </c>
      <c r="B65" s="45"/>
      <c r="C65" s="45"/>
      <c r="D65" s="45"/>
      <c r="E65" s="45"/>
      <c r="F65" s="45"/>
      <c r="G65" s="45"/>
      <c r="H65" s="45"/>
      <c r="I65" s="45"/>
    </row>
    <row r="66" spans="1:9" ht="43.5" customHeight="1" x14ac:dyDescent="0.3">
      <c r="A66" s="45" t="s">
        <v>68</v>
      </c>
      <c r="B66" s="45"/>
      <c r="C66" s="45"/>
      <c r="D66" s="45"/>
      <c r="E66" s="45"/>
      <c r="F66" s="45"/>
      <c r="G66" s="45"/>
      <c r="H66" s="45"/>
      <c r="I66" s="45"/>
    </row>
    <row r="67" spans="1:9" x14ac:dyDescent="0.3">
      <c r="A67" s="34"/>
    </row>
    <row r="68" spans="1:9" x14ac:dyDescent="0.3">
      <c r="A68" s="34"/>
    </row>
    <row r="69" spans="1:9" x14ac:dyDescent="0.3">
      <c r="A69" s="34"/>
    </row>
    <row r="70" spans="1:9" x14ac:dyDescent="0.3">
      <c r="A70" s="35" t="s">
        <v>69</v>
      </c>
    </row>
    <row r="71" spans="1:9" ht="44.25" customHeight="1" x14ac:dyDescent="0.3">
      <c r="A71" s="61" t="s">
        <v>70</v>
      </c>
      <c r="B71" s="61"/>
      <c r="C71" s="61"/>
      <c r="D71" s="61"/>
      <c r="E71" s="61"/>
      <c r="F71" s="61"/>
      <c r="G71" s="61"/>
      <c r="H71" s="61"/>
      <c r="I71" s="61"/>
    </row>
    <row r="72" spans="1:9" ht="33.75" customHeight="1" x14ac:dyDescent="0.3">
      <c r="A72" s="61" t="s">
        <v>71</v>
      </c>
      <c r="B72" s="61"/>
      <c r="C72" s="61"/>
      <c r="D72" s="61"/>
      <c r="E72" s="61"/>
      <c r="F72" s="61"/>
      <c r="G72" s="61"/>
      <c r="H72" s="61"/>
      <c r="I72" s="61"/>
    </row>
    <row r="73" spans="1:9" ht="47.25" customHeight="1" x14ac:dyDescent="0.3">
      <c r="A73" s="61" t="s">
        <v>72</v>
      </c>
      <c r="B73" s="61"/>
      <c r="C73" s="61"/>
      <c r="D73" s="61"/>
      <c r="E73" s="61"/>
      <c r="F73" s="61"/>
      <c r="G73" s="61"/>
      <c r="H73" s="61"/>
      <c r="I73" s="61"/>
    </row>
    <row r="74" spans="1:9" x14ac:dyDescent="0.3">
      <c r="A74" s="36" t="s">
        <v>73</v>
      </c>
    </row>
    <row r="75" spans="1:9" ht="90" customHeight="1" x14ac:dyDescent="0.3">
      <c r="A75" s="61" t="s">
        <v>74</v>
      </c>
      <c r="B75" s="61"/>
      <c r="C75" s="61"/>
      <c r="D75" s="61"/>
      <c r="E75" s="61"/>
      <c r="F75" s="61"/>
      <c r="G75" s="61"/>
      <c r="H75" s="61"/>
      <c r="I75" s="61"/>
    </row>
    <row r="76" spans="1:9" ht="29.25" customHeight="1" x14ac:dyDescent="0.3">
      <c r="A76" s="61" t="s">
        <v>75</v>
      </c>
      <c r="B76" s="61"/>
      <c r="C76" s="61"/>
      <c r="D76" s="61"/>
      <c r="E76" s="61"/>
      <c r="F76" s="61"/>
      <c r="G76" s="61"/>
      <c r="H76" s="61"/>
      <c r="I76" s="61"/>
    </row>
    <row r="77" spans="1:9" ht="30" customHeight="1" x14ac:dyDescent="0.3">
      <c r="A77" s="62" t="s">
        <v>76</v>
      </c>
      <c r="B77" s="62"/>
      <c r="C77" s="62"/>
      <c r="D77" s="62"/>
      <c r="E77" s="62"/>
      <c r="F77" s="62"/>
      <c r="G77" s="62"/>
      <c r="H77" s="62"/>
      <c r="I77" s="62"/>
    </row>
  </sheetData>
  <mergeCells count="20">
    <mergeCell ref="A76:I76"/>
    <mergeCell ref="A77:I77"/>
    <mergeCell ref="A65:I65"/>
    <mergeCell ref="A66:I66"/>
    <mergeCell ref="A71:I71"/>
    <mergeCell ref="A72:I72"/>
    <mergeCell ref="A73:I73"/>
    <mergeCell ref="A75:I75"/>
    <mergeCell ref="A64:I64"/>
    <mergeCell ref="A1:F1"/>
    <mergeCell ref="B46:G46"/>
    <mergeCell ref="B47:G47"/>
    <mergeCell ref="B48:G48"/>
    <mergeCell ref="B49:G49"/>
    <mergeCell ref="B50:G50"/>
    <mergeCell ref="B51:G51"/>
    <mergeCell ref="B52:G52"/>
    <mergeCell ref="B53:C53"/>
    <mergeCell ref="B54:G54"/>
    <mergeCell ref="A55:G55"/>
  </mergeCells>
  <pageMargins left="0.511811024" right="0.511811024" top="0.78740157499999996" bottom="0.78740157499999996" header="0.31496062000000002" footer="0.31496062000000002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77"/>
  <sheetViews>
    <sheetView workbookViewId="0">
      <selection activeCell="D6" sqref="D6"/>
    </sheetView>
  </sheetViews>
  <sheetFormatPr defaultRowHeight="14.4" x14ac:dyDescent="0.3"/>
  <cols>
    <col min="1" max="1" width="32.33203125" bestFit="1" customWidth="1"/>
    <col min="2" max="2" width="11.33203125" bestFit="1" customWidth="1"/>
    <col min="3" max="3" width="17" bestFit="1" customWidth="1"/>
    <col min="4" max="4" width="10.5546875" bestFit="1" customWidth="1"/>
    <col min="5" max="5" width="10.6640625" customWidth="1"/>
    <col min="6" max="6" width="10.5546875" bestFit="1" customWidth="1"/>
    <col min="8" max="8" width="9.33203125" bestFit="1" customWidth="1"/>
    <col min="9" max="9" width="9.5546875" bestFit="1" customWidth="1"/>
  </cols>
  <sheetData>
    <row r="1" spans="1:6" x14ac:dyDescent="0.3">
      <c r="A1" s="46" t="s">
        <v>7</v>
      </c>
      <c r="B1" s="46"/>
      <c r="C1" s="46"/>
      <c r="D1" s="46"/>
      <c r="E1" s="46"/>
      <c r="F1" s="46"/>
    </row>
    <row r="2" spans="1:6" x14ac:dyDescent="0.3">
      <c r="A2" s="44"/>
      <c r="B2" s="38"/>
      <c r="C2" s="44"/>
      <c r="D2" s="39"/>
      <c r="E2" s="44"/>
      <c r="F2" s="44"/>
    </row>
    <row r="3" spans="1:6" x14ac:dyDescent="0.3">
      <c r="A3" s="9" t="s">
        <v>82</v>
      </c>
      <c r="B3" t="s">
        <v>23</v>
      </c>
      <c r="D3">
        <v>2000</v>
      </c>
      <c r="E3" s="63" t="s">
        <v>86</v>
      </c>
    </row>
    <row r="5" spans="1:6" x14ac:dyDescent="0.3">
      <c r="A5" s="44" t="s">
        <v>9</v>
      </c>
      <c r="B5" s="6">
        <v>150000</v>
      </c>
      <c r="C5" s="44"/>
    </row>
    <row r="6" spans="1:6" x14ac:dyDescent="0.3">
      <c r="A6" s="44" t="s">
        <v>10</v>
      </c>
      <c r="B6" s="6">
        <f>B5*30%</f>
        <v>45000</v>
      </c>
      <c r="C6" s="44"/>
      <c r="D6" s="44"/>
      <c r="E6" s="44"/>
      <c r="F6" s="44"/>
    </row>
    <row r="7" spans="1:6" x14ac:dyDescent="0.3">
      <c r="A7" s="44" t="s">
        <v>11</v>
      </c>
      <c r="B7" s="6">
        <f>B5-B6</f>
        <v>105000</v>
      </c>
      <c r="C7" s="44"/>
      <c r="D7" s="44"/>
      <c r="E7" s="44"/>
      <c r="F7" s="44"/>
    </row>
    <row r="8" spans="1:6" x14ac:dyDescent="0.3">
      <c r="A8" s="44" t="s">
        <v>12</v>
      </c>
      <c r="B8" s="6">
        <v>60</v>
      </c>
      <c r="C8" s="6">
        <f>B7/B8</f>
        <v>1750</v>
      </c>
      <c r="D8" s="44"/>
      <c r="E8" s="44"/>
      <c r="F8" s="44"/>
    </row>
    <row r="9" spans="1:6" x14ac:dyDescent="0.3">
      <c r="A9" s="44" t="s">
        <v>14</v>
      </c>
      <c r="B9" s="14">
        <v>0.14749999999999999</v>
      </c>
      <c r="C9" s="7">
        <f>B5*B9/12</f>
        <v>1843.75</v>
      </c>
      <c r="D9" s="44"/>
      <c r="E9" s="44"/>
      <c r="F9" s="44"/>
    </row>
    <row r="11" spans="1:6" x14ac:dyDescent="0.3">
      <c r="A11" s="1" t="s">
        <v>0</v>
      </c>
      <c r="B11" s="1" t="s">
        <v>8</v>
      </c>
      <c r="C11" s="1" t="s">
        <v>22</v>
      </c>
      <c r="D11" s="1" t="s">
        <v>1</v>
      </c>
    </row>
    <row r="12" spans="1:6" x14ac:dyDescent="0.3">
      <c r="A12" s="2" t="s">
        <v>2</v>
      </c>
      <c r="B12" s="2">
        <v>5.5</v>
      </c>
      <c r="C12" s="2">
        <v>4</v>
      </c>
      <c r="D12" s="3">
        <f t="shared" ref="D12:D20" si="0">B12/C12</f>
        <v>1.375</v>
      </c>
    </row>
    <row r="13" spans="1:6" x14ac:dyDescent="0.3">
      <c r="A13" s="2" t="s">
        <v>6</v>
      </c>
      <c r="B13" s="3">
        <v>300</v>
      </c>
      <c r="C13" s="2">
        <f>D3</f>
        <v>2000</v>
      </c>
      <c r="D13" s="3">
        <f t="shared" si="0"/>
        <v>0.15</v>
      </c>
    </row>
    <row r="14" spans="1:6" x14ac:dyDescent="0.3">
      <c r="A14" s="2" t="s">
        <v>21</v>
      </c>
      <c r="B14" s="3">
        <f>B5*3%</f>
        <v>4500</v>
      </c>
      <c r="C14" s="2">
        <f>C13*12</f>
        <v>24000</v>
      </c>
      <c r="D14" s="3">
        <f t="shared" si="0"/>
        <v>0.1875</v>
      </c>
    </row>
    <row r="15" spans="1:6" x14ac:dyDescent="0.3">
      <c r="A15" s="2" t="s">
        <v>3</v>
      </c>
      <c r="B15" s="3">
        <v>400</v>
      </c>
      <c r="C15" s="2">
        <f>C13</f>
        <v>2000</v>
      </c>
      <c r="D15" s="3">
        <f t="shared" si="0"/>
        <v>0.2</v>
      </c>
    </row>
    <row r="16" spans="1:6" x14ac:dyDescent="0.3">
      <c r="A16" s="2" t="s">
        <v>79</v>
      </c>
      <c r="B16" s="3">
        <f>1950*10</f>
        <v>19500</v>
      </c>
      <c r="C16" s="2">
        <v>80000</v>
      </c>
      <c r="D16" s="3">
        <f t="shared" si="0"/>
        <v>0.24374999999999999</v>
      </c>
    </row>
    <row r="17" spans="1:4" x14ac:dyDescent="0.3">
      <c r="A17" s="2" t="s">
        <v>26</v>
      </c>
      <c r="B17" s="3">
        <v>250</v>
      </c>
      <c r="C17" s="2">
        <f>C15</f>
        <v>2000</v>
      </c>
      <c r="D17" s="3">
        <f t="shared" si="0"/>
        <v>0.125</v>
      </c>
    </row>
    <row r="18" spans="1:4" x14ac:dyDescent="0.3">
      <c r="A18" s="2" t="s">
        <v>4</v>
      </c>
      <c r="B18" s="3">
        <f>I58</f>
        <v>5212.1109777777783</v>
      </c>
      <c r="C18" s="2">
        <f>C15</f>
        <v>2000</v>
      </c>
      <c r="D18" s="3">
        <f t="shared" si="0"/>
        <v>2.6060554888888889</v>
      </c>
    </row>
    <row r="19" spans="1:4" x14ac:dyDescent="0.3">
      <c r="A19" s="2" t="s">
        <v>13</v>
      </c>
      <c r="B19" s="3">
        <f>C8</f>
        <v>1750</v>
      </c>
      <c r="C19" s="2">
        <f>C18</f>
        <v>2000</v>
      </c>
      <c r="D19" s="3">
        <f t="shared" si="0"/>
        <v>0.875</v>
      </c>
    </row>
    <row r="20" spans="1:4" x14ac:dyDescent="0.3">
      <c r="A20" s="2" t="s">
        <v>15</v>
      </c>
      <c r="B20" s="8">
        <f>C9</f>
        <v>1843.75</v>
      </c>
      <c r="C20" s="2">
        <f>C19</f>
        <v>2000</v>
      </c>
      <c r="D20" s="3">
        <f t="shared" si="0"/>
        <v>0.921875</v>
      </c>
    </row>
    <row r="21" spans="1:4" x14ac:dyDescent="0.3">
      <c r="A21" s="4" t="s">
        <v>24</v>
      </c>
      <c r="B21" s="4"/>
      <c r="C21" s="4" t="s">
        <v>5</v>
      </c>
      <c r="D21" s="5">
        <f>SUM(D12:D20)</f>
        <v>6.6841804888888889</v>
      </c>
    </row>
    <row r="23" spans="1:4" x14ac:dyDescent="0.3">
      <c r="A23" s="2" t="s">
        <v>18</v>
      </c>
      <c r="B23" s="2"/>
      <c r="C23" s="10">
        <v>0.08</v>
      </c>
      <c r="D23" s="8">
        <f>D21*C23</f>
        <v>0.53473443911111118</v>
      </c>
    </row>
    <row r="24" spans="1:4" x14ac:dyDescent="0.3">
      <c r="A24" s="2" t="s">
        <v>19</v>
      </c>
      <c r="B24" s="2"/>
      <c r="C24" s="10">
        <v>0.08</v>
      </c>
      <c r="D24" s="8">
        <f>D21*C24</f>
        <v>0.53473443911111118</v>
      </c>
    </row>
    <row r="25" spans="1:4" x14ac:dyDescent="0.3">
      <c r="A25" s="11" t="s">
        <v>16</v>
      </c>
      <c r="B25" s="11"/>
      <c r="C25" s="11"/>
      <c r="D25" s="12">
        <f>D24+D23+D21</f>
        <v>7.7536493671111115</v>
      </c>
    </row>
    <row r="26" spans="1:4" x14ac:dyDescent="0.3">
      <c r="A26" s="2" t="s">
        <v>17</v>
      </c>
      <c r="B26" s="2"/>
      <c r="C26" s="13">
        <v>6.6500000000000004E-2</v>
      </c>
      <c r="D26" s="8">
        <f>D25*C26</f>
        <v>0.5156176829128889</v>
      </c>
    </row>
    <row r="27" spans="1:4" x14ac:dyDescent="0.3">
      <c r="A27" s="2" t="s">
        <v>20</v>
      </c>
      <c r="B27" s="2"/>
      <c r="C27" s="10"/>
      <c r="D27" s="8"/>
    </row>
    <row r="28" spans="1:4" x14ac:dyDescent="0.3">
      <c r="A28" s="11" t="s">
        <v>25</v>
      </c>
      <c r="B28" s="11"/>
      <c r="C28" s="11"/>
      <c r="D28" s="12">
        <f>D25+D26</f>
        <v>8.2692670500240002</v>
      </c>
    </row>
    <row r="29" spans="1:4" x14ac:dyDescent="0.3">
      <c r="A29" s="15" t="s">
        <v>83</v>
      </c>
      <c r="B29" s="2"/>
      <c r="C29" s="2">
        <f>D3</f>
        <v>2000</v>
      </c>
      <c r="D29" s="8">
        <f>D28*C29</f>
        <v>16538.534100048</v>
      </c>
    </row>
    <row r="31" spans="1:4" x14ac:dyDescent="0.3">
      <c r="D31" s="42"/>
    </row>
    <row r="34" spans="1:9" x14ac:dyDescent="0.3">
      <c r="C34" t="s">
        <v>77</v>
      </c>
      <c r="D34" s="40" t="s">
        <v>84</v>
      </c>
    </row>
    <row r="35" spans="1:9" x14ac:dyDescent="0.3">
      <c r="A35" s="9" t="s">
        <v>62</v>
      </c>
      <c r="D35" s="9" t="s">
        <v>80</v>
      </c>
      <c r="E35" s="43" t="s">
        <v>81</v>
      </c>
    </row>
    <row r="36" spans="1:9" x14ac:dyDescent="0.3">
      <c r="A36" s="2" t="s">
        <v>51</v>
      </c>
      <c r="B36" s="2"/>
      <c r="C36" s="2"/>
      <c r="D36" s="3">
        <f>2075.32*1.07</f>
        <v>2220.5924000000005</v>
      </c>
      <c r="E36" s="2">
        <f>1576.62*1.07</f>
        <v>1686.9834000000001</v>
      </c>
    </row>
    <row r="37" spans="1:9" x14ac:dyDescent="0.3">
      <c r="A37" s="2" t="s">
        <v>52</v>
      </c>
      <c r="B37" s="10">
        <v>0.2</v>
      </c>
      <c r="C37" s="2"/>
      <c r="D37" s="8">
        <f>D36*B37</f>
        <v>444.11848000000009</v>
      </c>
      <c r="E37" s="2">
        <f>E36*B37</f>
        <v>337.39668000000006</v>
      </c>
    </row>
    <row r="38" spans="1:9" x14ac:dyDescent="0.3">
      <c r="A38" s="30" t="s">
        <v>60</v>
      </c>
      <c r="B38" s="10"/>
      <c r="C38" s="8"/>
      <c r="D38" s="12">
        <f>D37+D36</f>
        <v>2664.7108800000005</v>
      </c>
      <c r="E38" s="12">
        <f>E37+E36</f>
        <v>2024.3800800000001</v>
      </c>
    </row>
    <row r="39" spans="1:9" x14ac:dyDescent="0.3">
      <c r="A39" s="2" t="s">
        <v>53</v>
      </c>
      <c r="B39" s="2">
        <v>20</v>
      </c>
      <c r="C39" s="3">
        <v>8</v>
      </c>
      <c r="D39" s="3">
        <f>C39*B39</f>
        <v>160</v>
      </c>
      <c r="E39" s="8">
        <f>B39*C39</f>
        <v>160</v>
      </c>
    </row>
    <row r="40" spans="1:9" x14ac:dyDescent="0.3">
      <c r="A40" s="2" t="s">
        <v>54</v>
      </c>
      <c r="B40" s="2">
        <v>20</v>
      </c>
      <c r="C40" s="3">
        <v>6</v>
      </c>
      <c r="D40" s="3">
        <f>B40*C40</f>
        <v>120</v>
      </c>
      <c r="E40" s="8">
        <f>B40*C40</f>
        <v>120</v>
      </c>
    </row>
    <row r="41" spans="1:9" x14ac:dyDescent="0.3">
      <c r="A41" s="11" t="s">
        <v>55</v>
      </c>
      <c r="B41" s="11"/>
      <c r="C41" s="11"/>
      <c r="D41" s="12">
        <f>SUM(D38:D40)</f>
        <v>2944.7108800000005</v>
      </c>
      <c r="E41" s="12">
        <f>SUM(E38:E40)</f>
        <v>2304.3800799999999</v>
      </c>
    </row>
    <row r="42" spans="1:9" x14ac:dyDescent="0.3">
      <c r="A42" s="2" t="s">
        <v>56</v>
      </c>
      <c r="B42" s="2"/>
      <c r="C42" s="2"/>
      <c r="D42" s="8">
        <f>D41/12</f>
        <v>245.39257333333339</v>
      </c>
      <c r="E42" s="8">
        <f>E41/12</f>
        <v>192.03167333333332</v>
      </c>
    </row>
    <row r="43" spans="1:9" x14ac:dyDescent="0.3">
      <c r="A43" s="2" t="s">
        <v>57</v>
      </c>
      <c r="B43" s="2"/>
      <c r="C43" s="2"/>
      <c r="D43" s="3">
        <f>(D41/3)/12</f>
        <v>81.797524444444463</v>
      </c>
      <c r="E43" s="3">
        <f>(E41/3)/12</f>
        <v>64.010557777777777</v>
      </c>
    </row>
    <row r="44" spans="1:9" x14ac:dyDescent="0.3">
      <c r="A44" s="11" t="s">
        <v>58</v>
      </c>
      <c r="B44" s="11"/>
      <c r="C44" s="11"/>
      <c r="D44" s="29">
        <f>D43+D42+D41</f>
        <v>3271.9009777777783</v>
      </c>
      <c r="E44" s="29">
        <f>E43+E42+E41</f>
        <v>2560.422311111111</v>
      </c>
      <c r="F44" s="9" t="s">
        <v>59</v>
      </c>
      <c r="G44" s="9"/>
      <c r="H44" s="9"/>
      <c r="I44" s="28">
        <f>D38+D42+D43+E38+E42+E43</f>
        <v>5272.3232888888897</v>
      </c>
    </row>
    <row r="46" spans="1:9" ht="27.6" x14ac:dyDescent="0.3">
      <c r="A46" s="16" t="s">
        <v>28</v>
      </c>
      <c r="B46" s="47" t="s">
        <v>29</v>
      </c>
      <c r="C46" s="48"/>
      <c r="D46" s="48"/>
      <c r="E46" s="48"/>
      <c r="F46" s="48"/>
      <c r="G46" s="49"/>
      <c r="H46" s="17" t="s">
        <v>30</v>
      </c>
      <c r="I46" s="17" t="s">
        <v>31</v>
      </c>
    </row>
    <row r="47" spans="1:9" x14ac:dyDescent="0.3">
      <c r="A47" s="18" t="s">
        <v>32</v>
      </c>
      <c r="B47" s="50" t="s">
        <v>33</v>
      </c>
      <c r="C47" s="51"/>
      <c r="D47" s="51"/>
      <c r="E47" s="51"/>
      <c r="F47" s="51"/>
      <c r="G47" s="52"/>
      <c r="H47" s="19">
        <v>0.2</v>
      </c>
      <c r="I47" s="20">
        <f>$I$44*H47</f>
        <v>1054.464657777778</v>
      </c>
    </row>
    <row r="48" spans="1:9" x14ac:dyDescent="0.3">
      <c r="A48" s="18" t="s">
        <v>34</v>
      </c>
      <c r="B48" s="50" t="s">
        <v>35</v>
      </c>
      <c r="C48" s="51"/>
      <c r="D48" s="51"/>
      <c r="E48" s="51"/>
      <c r="F48" s="51"/>
      <c r="G48" s="52"/>
      <c r="H48" s="19">
        <v>1.4999999999999999E-2</v>
      </c>
      <c r="I48" s="20">
        <f t="shared" ref="I48:I54" si="1">$I$44*H48</f>
        <v>79.084849333333338</v>
      </c>
    </row>
    <row r="49" spans="1:9" x14ac:dyDescent="0.3">
      <c r="A49" s="18" t="s">
        <v>36</v>
      </c>
      <c r="B49" s="50" t="s">
        <v>37</v>
      </c>
      <c r="C49" s="51"/>
      <c r="D49" s="51"/>
      <c r="E49" s="51"/>
      <c r="F49" s="51"/>
      <c r="G49" s="52"/>
      <c r="H49" s="19">
        <v>0.01</v>
      </c>
      <c r="I49" s="20">
        <f t="shared" si="1"/>
        <v>52.723232888888901</v>
      </c>
    </row>
    <row r="50" spans="1:9" x14ac:dyDescent="0.3">
      <c r="A50" s="18" t="s">
        <v>38</v>
      </c>
      <c r="B50" s="50" t="s">
        <v>39</v>
      </c>
      <c r="C50" s="51"/>
      <c r="D50" s="51"/>
      <c r="E50" s="51"/>
      <c r="F50" s="51"/>
      <c r="G50" s="52"/>
      <c r="H50" s="19">
        <v>2E-3</v>
      </c>
      <c r="I50" s="20">
        <f t="shared" si="1"/>
        <v>10.54464657777778</v>
      </c>
    </row>
    <row r="51" spans="1:9" x14ac:dyDescent="0.3">
      <c r="A51" s="18" t="s">
        <v>40</v>
      </c>
      <c r="B51" s="53" t="s">
        <v>41</v>
      </c>
      <c r="C51" s="54"/>
      <c r="D51" s="54"/>
      <c r="E51" s="54"/>
      <c r="F51" s="54"/>
      <c r="G51" s="55"/>
      <c r="H51" s="19">
        <v>2.5000000000000001E-2</v>
      </c>
      <c r="I51" s="20">
        <f t="shared" si="1"/>
        <v>131.80808222222225</v>
      </c>
    </row>
    <row r="52" spans="1:9" x14ac:dyDescent="0.3">
      <c r="A52" s="18" t="s">
        <v>42</v>
      </c>
      <c r="B52" s="53" t="s">
        <v>43</v>
      </c>
      <c r="C52" s="54"/>
      <c r="D52" s="54"/>
      <c r="E52" s="54"/>
      <c r="F52" s="54"/>
      <c r="G52" s="55"/>
      <c r="H52" s="21">
        <v>0.08</v>
      </c>
      <c r="I52" s="20">
        <f t="shared" si="1"/>
        <v>421.78586311111121</v>
      </c>
    </row>
    <row r="53" spans="1:9" x14ac:dyDescent="0.3">
      <c r="A53" s="18" t="s">
        <v>44</v>
      </c>
      <c r="B53" s="56" t="s">
        <v>45</v>
      </c>
      <c r="C53" s="57"/>
      <c r="D53" s="22" t="s">
        <v>46</v>
      </c>
      <c r="E53" s="23">
        <v>0.03</v>
      </c>
      <c r="F53" s="22" t="s">
        <v>47</v>
      </c>
      <c r="G53" s="24">
        <v>1</v>
      </c>
      <c r="H53" s="25">
        <f>ROUND((E53*G53),6)</f>
        <v>0.03</v>
      </c>
      <c r="I53" s="20">
        <f t="shared" si="1"/>
        <v>158.16969866666668</v>
      </c>
    </row>
    <row r="54" spans="1:9" x14ac:dyDescent="0.3">
      <c r="A54" s="18" t="s">
        <v>48</v>
      </c>
      <c r="B54" s="53" t="s">
        <v>49</v>
      </c>
      <c r="C54" s="54"/>
      <c r="D54" s="54"/>
      <c r="E54" s="54"/>
      <c r="F54" s="54"/>
      <c r="G54" s="55"/>
      <c r="H54" s="19">
        <v>6.0000000000000001E-3</v>
      </c>
      <c r="I54" s="20">
        <f t="shared" si="1"/>
        <v>31.633939733333339</v>
      </c>
    </row>
    <row r="55" spans="1:9" x14ac:dyDescent="0.3">
      <c r="A55" s="58" t="s">
        <v>50</v>
      </c>
      <c r="B55" s="59"/>
      <c r="C55" s="59"/>
      <c r="D55" s="59"/>
      <c r="E55" s="59"/>
      <c r="F55" s="59"/>
      <c r="G55" s="60"/>
      <c r="H55" s="26">
        <f>SUM(H47:H54)</f>
        <v>0.3680000000000001</v>
      </c>
      <c r="I55" s="27">
        <f>TRUNC(SUM(I47:I54),2)</f>
        <v>1940.21</v>
      </c>
    </row>
    <row r="57" spans="1:9" x14ac:dyDescent="0.3">
      <c r="A57" s="31" t="s">
        <v>63</v>
      </c>
      <c r="B57" s="2"/>
      <c r="C57" s="2"/>
      <c r="D57" s="2"/>
      <c r="E57" s="2"/>
      <c r="F57" s="2"/>
      <c r="G57" s="2"/>
      <c r="H57" s="2"/>
      <c r="I57" s="12">
        <f>D44+I55</f>
        <v>5212.1109777777783</v>
      </c>
    </row>
    <row r="58" spans="1:9" x14ac:dyDescent="0.3">
      <c r="A58" s="32" t="s">
        <v>61</v>
      </c>
      <c r="B58" s="2"/>
      <c r="C58" s="2"/>
      <c r="D58" s="2"/>
      <c r="E58" s="2"/>
      <c r="F58" s="2"/>
      <c r="G58" s="2"/>
      <c r="H58" s="41">
        <v>1</v>
      </c>
      <c r="I58" s="12">
        <f>I57*H58</f>
        <v>5212.1109777777783</v>
      </c>
    </row>
    <row r="62" spans="1:9" x14ac:dyDescent="0.3">
      <c r="A62" s="33" t="s">
        <v>64</v>
      </c>
    </row>
    <row r="63" spans="1:9" x14ac:dyDescent="0.3">
      <c r="A63" s="34" t="s">
        <v>65</v>
      </c>
    </row>
    <row r="64" spans="1:9" ht="28.5" customHeight="1" x14ac:dyDescent="0.3">
      <c r="A64" s="45" t="s">
        <v>66</v>
      </c>
      <c r="B64" s="45"/>
      <c r="C64" s="45"/>
      <c r="D64" s="45"/>
      <c r="E64" s="45"/>
      <c r="F64" s="45"/>
      <c r="G64" s="45"/>
      <c r="H64" s="45"/>
      <c r="I64" s="45"/>
    </row>
    <row r="65" spans="1:9" ht="32.25" customHeight="1" x14ac:dyDescent="0.3">
      <c r="A65" s="45" t="s">
        <v>67</v>
      </c>
      <c r="B65" s="45"/>
      <c r="C65" s="45"/>
      <c r="D65" s="45"/>
      <c r="E65" s="45"/>
      <c r="F65" s="45"/>
      <c r="G65" s="45"/>
      <c r="H65" s="45"/>
      <c r="I65" s="45"/>
    </row>
    <row r="66" spans="1:9" ht="43.5" customHeight="1" x14ac:dyDescent="0.3">
      <c r="A66" s="45" t="s">
        <v>68</v>
      </c>
      <c r="B66" s="45"/>
      <c r="C66" s="45"/>
      <c r="D66" s="45"/>
      <c r="E66" s="45"/>
      <c r="F66" s="45"/>
      <c r="G66" s="45"/>
      <c r="H66" s="45"/>
      <c r="I66" s="45"/>
    </row>
    <row r="67" spans="1:9" x14ac:dyDescent="0.3">
      <c r="A67" s="34"/>
    </row>
    <row r="68" spans="1:9" x14ac:dyDescent="0.3">
      <c r="A68" s="34"/>
    </row>
    <row r="69" spans="1:9" x14ac:dyDescent="0.3">
      <c r="A69" s="34"/>
    </row>
    <row r="70" spans="1:9" x14ac:dyDescent="0.3">
      <c r="A70" s="35" t="s">
        <v>69</v>
      </c>
    </row>
    <row r="71" spans="1:9" ht="44.25" customHeight="1" x14ac:dyDescent="0.3">
      <c r="A71" s="61" t="s">
        <v>70</v>
      </c>
      <c r="B71" s="61"/>
      <c r="C71" s="61"/>
      <c r="D71" s="61"/>
      <c r="E71" s="61"/>
      <c r="F71" s="61"/>
      <c r="G71" s="61"/>
      <c r="H71" s="61"/>
      <c r="I71" s="61"/>
    </row>
    <row r="72" spans="1:9" ht="33.75" customHeight="1" x14ac:dyDescent="0.3">
      <c r="A72" s="61" t="s">
        <v>71</v>
      </c>
      <c r="B72" s="61"/>
      <c r="C72" s="61"/>
      <c r="D72" s="61"/>
      <c r="E72" s="61"/>
      <c r="F72" s="61"/>
      <c r="G72" s="61"/>
      <c r="H72" s="61"/>
      <c r="I72" s="61"/>
    </row>
    <row r="73" spans="1:9" ht="47.25" customHeight="1" x14ac:dyDescent="0.3">
      <c r="A73" s="61" t="s">
        <v>72</v>
      </c>
      <c r="B73" s="61"/>
      <c r="C73" s="61"/>
      <c r="D73" s="61"/>
      <c r="E73" s="61"/>
      <c r="F73" s="61"/>
      <c r="G73" s="61"/>
      <c r="H73" s="61"/>
      <c r="I73" s="61"/>
    </row>
    <row r="74" spans="1:9" x14ac:dyDescent="0.3">
      <c r="A74" s="36" t="s">
        <v>73</v>
      </c>
    </row>
    <row r="75" spans="1:9" ht="90" customHeight="1" x14ac:dyDescent="0.3">
      <c r="A75" s="61" t="s">
        <v>74</v>
      </c>
      <c r="B75" s="61"/>
      <c r="C75" s="61"/>
      <c r="D75" s="61"/>
      <c r="E75" s="61"/>
      <c r="F75" s="61"/>
      <c r="G75" s="61"/>
      <c r="H75" s="61"/>
      <c r="I75" s="61"/>
    </row>
    <row r="76" spans="1:9" ht="29.25" customHeight="1" x14ac:dyDescent="0.3">
      <c r="A76" s="61" t="s">
        <v>75</v>
      </c>
      <c r="B76" s="61"/>
      <c r="C76" s="61"/>
      <c r="D76" s="61"/>
      <c r="E76" s="61"/>
      <c r="F76" s="61"/>
      <c r="G76" s="61"/>
      <c r="H76" s="61"/>
      <c r="I76" s="61"/>
    </row>
    <row r="77" spans="1:9" ht="30" customHeight="1" x14ac:dyDescent="0.3">
      <c r="A77" s="62" t="s">
        <v>76</v>
      </c>
      <c r="B77" s="62"/>
      <c r="C77" s="62"/>
      <c r="D77" s="62"/>
      <c r="E77" s="62"/>
      <c r="F77" s="62"/>
      <c r="G77" s="62"/>
      <c r="H77" s="62"/>
      <c r="I77" s="62"/>
    </row>
  </sheetData>
  <mergeCells count="20">
    <mergeCell ref="A76:I76"/>
    <mergeCell ref="A77:I77"/>
    <mergeCell ref="A65:I65"/>
    <mergeCell ref="A66:I66"/>
    <mergeCell ref="A71:I71"/>
    <mergeCell ref="A72:I72"/>
    <mergeCell ref="A73:I73"/>
    <mergeCell ref="A75:I75"/>
    <mergeCell ref="B51:G51"/>
    <mergeCell ref="B52:G52"/>
    <mergeCell ref="B53:C53"/>
    <mergeCell ref="B54:G54"/>
    <mergeCell ref="A55:G55"/>
    <mergeCell ref="A64:I64"/>
    <mergeCell ref="A1:F1"/>
    <mergeCell ref="B46:G46"/>
    <mergeCell ref="B47:G47"/>
    <mergeCell ref="B48:G48"/>
    <mergeCell ref="B49:G49"/>
    <mergeCell ref="B50:G50"/>
  </mergeCells>
  <pageMargins left="0.511811024" right="0.511811024" top="0.78740157499999996" bottom="0.78740157499999996" header="0.31496062000000002" footer="0.31496062000000002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77"/>
  <sheetViews>
    <sheetView workbookViewId="0">
      <selection activeCell="C26" sqref="C26"/>
    </sheetView>
  </sheetViews>
  <sheetFormatPr defaultRowHeight="14.4" x14ac:dyDescent="0.3"/>
  <cols>
    <col min="1" max="1" width="32.33203125" bestFit="1" customWidth="1"/>
    <col min="2" max="2" width="11.33203125" bestFit="1" customWidth="1"/>
    <col min="3" max="3" width="17" bestFit="1" customWidth="1"/>
    <col min="4" max="4" width="10.5546875" bestFit="1" customWidth="1"/>
    <col min="5" max="5" width="10.6640625" customWidth="1"/>
    <col min="6" max="6" width="10.5546875" bestFit="1" customWidth="1"/>
    <col min="8" max="8" width="9.33203125" bestFit="1" customWidth="1"/>
    <col min="9" max="9" width="9.5546875" bestFit="1" customWidth="1"/>
  </cols>
  <sheetData>
    <row r="1" spans="1:6" x14ac:dyDescent="0.3">
      <c r="A1" s="46" t="s">
        <v>7</v>
      </c>
      <c r="B1" s="46"/>
      <c r="C1" s="46"/>
      <c r="D1" s="46"/>
      <c r="E1" s="46"/>
      <c r="F1" s="46"/>
    </row>
    <row r="2" spans="1:6" x14ac:dyDescent="0.3">
      <c r="A2" s="37"/>
      <c r="B2" s="38"/>
      <c r="C2" s="37"/>
      <c r="D2" s="39"/>
      <c r="E2" s="37"/>
      <c r="F2" s="37"/>
    </row>
    <row r="3" spans="1:6" x14ac:dyDescent="0.3">
      <c r="A3" s="9" t="s">
        <v>89</v>
      </c>
      <c r="B3" t="s">
        <v>23</v>
      </c>
      <c r="D3">
        <v>2200</v>
      </c>
      <c r="E3" s="63" t="s">
        <v>88</v>
      </c>
    </row>
    <row r="5" spans="1:6" x14ac:dyDescent="0.3">
      <c r="A5" s="37" t="s">
        <v>9</v>
      </c>
      <c r="B5" s="6">
        <v>100000</v>
      </c>
      <c r="C5" s="37"/>
    </row>
    <row r="6" spans="1:6" x14ac:dyDescent="0.3">
      <c r="A6" s="37" t="s">
        <v>10</v>
      </c>
      <c r="B6" s="6">
        <f>B5*30%</f>
        <v>30000</v>
      </c>
      <c r="C6" s="37"/>
      <c r="D6" s="37"/>
      <c r="E6" s="37"/>
      <c r="F6" s="37"/>
    </row>
    <row r="7" spans="1:6" x14ac:dyDescent="0.3">
      <c r="A7" s="37" t="s">
        <v>11</v>
      </c>
      <c r="B7" s="6">
        <f>B5-B6</f>
        <v>70000</v>
      </c>
      <c r="C7" s="37"/>
      <c r="D7" s="37"/>
      <c r="E7" s="37"/>
      <c r="F7" s="37"/>
    </row>
    <row r="8" spans="1:6" x14ac:dyDescent="0.3">
      <c r="A8" s="37" t="s">
        <v>12</v>
      </c>
      <c r="B8" s="6">
        <v>60</v>
      </c>
      <c r="C8" s="6">
        <f>B7/B8</f>
        <v>1166.6666666666667</v>
      </c>
      <c r="D8" s="37"/>
      <c r="E8" s="37"/>
      <c r="F8" s="37"/>
    </row>
    <row r="9" spans="1:6" x14ac:dyDescent="0.3">
      <c r="A9" s="37" t="s">
        <v>14</v>
      </c>
      <c r="B9" s="14">
        <v>0.14749999999999999</v>
      </c>
      <c r="C9" s="7">
        <f>B5*B9/12</f>
        <v>1229.1666666666667</v>
      </c>
      <c r="D9" s="37"/>
      <c r="E9" s="37"/>
      <c r="F9" s="37"/>
    </row>
    <row r="11" spans="1:6" x14ac:dyDescent="0.3">
      <c r="A11" s="1" t="s">
        <v>0</v>
      </c>
      <c r="B11" s="1" t="s">
        <v>8</v>
      </c>
      <c r="C11" s="1" t="s">
        <v>22</v>
      </c>
      <c r="D11" s="1" t="s">
        <v>1</v>
      </c>
    </row>
    <row r="12" spans="1:6" x14ac:dyDescent="0.3">
      <c r="A12" s="2" t="s">
        <v>2</v>
      </c>
      <c r="B12" s="2">
        <v>5.5</v>
      </c>
      <c r="C12" s="2">
        <v>5</v>
      </c>
      <c r="D12" s="3">
        <f t="shared" ref="D12:D20" si="0">B12/C12</f>
        <v>1.1000000000000001</v>
      </c>
    </row>
    <row r="13" spans="1:6" x14ac:dyDescent="0.3">
      <c r="A13" s="2" t="s">
        <v>6</v>
      </c>
      <c r="B13" s="3">
        <v>500</v>
      </c>
      <c r="C13" s="2">
        <f>D3</f>
        <v>2200</v>
      </c>
      <c r="D13" s="3">
        <f t="shared" si="0"/>
        <v>0.22727272727272727</v>
      </c>
    </row>
    <row r="14" spans="1:6" x14ac:dyDescent="0.3">
      <c r="A14" s="2" t="s">
        <v>21</v>
      </c>
      <c r="B14" s="3">
        <f>B5*3%</f>
        <v>3000</v>
      </c>
      <c r="C14" s="2">
        <f>C13*12</f>
        <v>26400</v>
      </c>
      <c r="D14" s="3">
        <f t="shared" si="0"/>
        <v>0.11363636363636363</v>
      </c>
    </row>
    <row r="15" spans="1:6" x14ac:dyDescent="0.3">
      <c r="A15" s="2" t="s">
        <v>3</v>
      </c>
      <c r="B15" s="3">
        <v>400</v>
      </c>
      <c r="C15" s="2">
        <f>C13</f>
        <v>2200</v>
      </c>
      <c r="D15" s="3">
        <f t="shared" si="0"/>
        <v>0.18181818181818182</v>
      </c>
    </row>
    <row r="16" spans="1:6" x14ac:dyDescent="0.3">
      <c r="A16" s="2" t="s">
        <v>27</v>
      </c>
      <c r="B16" s="3">
        <f>1300*4</f>
        <v>5200</v>
      </c>
      <c r="C16" s="2">
        <v>70000</v>
      </c>
      <c r="D16" s="3">
        <f t="shared" si="0"/>
        <v>7.4285714285714288E-2</v>
      </c>
    </row>
    <row r="17" spans="1:4" x14ac:dyDescent="0.3">
      <c r="A17" s="2" t="s">
        <v>26</v>
      </c>
      <c r="B17" s="3">
        <v>150</v>
      </c>
      <c r="C17" s="2">
        <f>C15</f>
        <v>2200</v>
      </c>
      <c r="D17" s="3">
        <f t="shared" si="0"/>
        <v>6.8181818181818177E-2</v>
      </c>
    </row>
    <row r="18" spans="1:4" x14ac:dyDescent="0.3">
      <c r="A18" s="2" t="s">
        <v>4</v>
      </c>
      <c r="B18" s="3">
        <f>I58</f>
        <v>7212.5332888888897</v>
      </c>
      <c r="C18" s="2">
        <f>C15</f>
        <v>2200</v>
      </c>
      <c r="D18" s="3">
        <f t="shared" si="0"/>
        <v>3.2784242222222226</v>
      </c>
    </row>
    <row r="19" spans="1:4" x14ac:dyDescent="0.3">
      <c r="A19" s="2" t="s">
        <v>13</v>
      </c>
      <c r="B19" s="3">
        <f>C8</f>
        <v>1166.6666666666667</v>
      </c>
      <c r="C19" s="2">
        <f>C18</f>
        <v>2200</v>
      </c>
      <c r="D19" s="3">
        <f t="shared" si="0"/>
        <v>0.53030303030303039</v>
      </c>
    </row>
    <row r="20" spans="1:4" x14ac:dyDescent="0.3">
      <c r="A20" s="2" t="s">
        <v>15</v>
      </c>
      <c r="B20" s="8">
        <f>C9</f>
        <v>1229.1666666666667</v>
      </c>
      <c r="C20" s="2">
        <f>C19</f>
        <v>2200</v>
      </c>
      <c r="D20" s="3">
        <f t="shared" si="0"/>
        <v>0.55871212121212122</v>
      </c>
    </row>
    <row r="21" spans="1:4" x14ac:dyDescent="0.3">
      <c r="A21" s="4" t="s">
        <v>24</v>
      </c>
      <c r="B21" s="4"/>
      <c r="C21" s="4" t="s">
        <v>5</v>
      </c>
      <c r="D21" s="5">
        <f>SUM(D12:D20)</f>
        <v>6.1326341789321797</v>
      </c>
    </row>
    <row r="23" spans="1:4" x14ac:dyDescent="0.3">
      <c r="A23" s="2" t="s">
        <v>18</v>
      </c>
      <c r="B23" s="2"/>
      <c r="C23" s="10">
        <v>0.08</v>
      </c>
      <c r="D23" s="8">
        <f>D21*C23</f>
        <v>0.49061073431457436</v>
      </c>
    </row>
    <row r="24" spans="1:4" x14ac:dyDescent="0.3">
      <c r="A24" s="2" t="s">
        <v>19</v>
      </c>
      <c r="B24" s="2"/>
      <c r="C24" s="10">
        <v>0.08</v>
      </c>
      <c r="D24" s="8">
        <f>D21*C24</f>
        <v>0.49061073431457436</v>
      </c>
    </row>
    <row r="25" spans="1:4" x14ac:dyDescent="0.3">
      <c r="A25" s="11" t="s">
        <v>16</v>
      </c>
      <c r="B25" s="11"/>
      <c r="C25" s="11"/>
      <c r="D25" s="12">
        <f>D24+D23+D21</f>
        <v>7.1138556475613282</v>
      </c>
    </row>
    <row r="26" spans="1:4" x14ac:dyDescent="0.3">
      <c r="A26" s="2" t="s">
        <v>17</v>
      </c>
      <c r="B26" s="2"/>
      <c r="C26" s="13">
        <v>6.6500000000000004E-2</v>
      </c>
      <c r="D26" s="8">
        <f>D25*C26</f>
        <v>0.47307140056282837</v>
      </c>
    </row>
    <row r="27" spans="1:4" x14ac:dyDescent="0.3">
      <c r="A27" s="2" t="s">
        <v>20</v>
      </c>
      <c r="B27" s="2"/>
      <c r="C27" s="10"/>
      <c r="D27" s="8"/>
    </row>
    <row r="28" spans="1:4" x14ac:dyDescent="0.3">
      <c r="A28" s="11" t="s">
        <v>25</v>
      </c>
      <c r="B28" s="11"/>
      <c r="C28" s="11"/>
      <c r="D28" s="12">
        <f>D25+D26</f>
        <v>7.5869270481241564</v>
      </c>
    </row>
    <row r="29" spans="1:4" x14ac:dyDescent="0.3">
      <c r="A29" s="15" t="s">
        <v>83</v>
      </c>
      <c r="B29" s="2"/>
      <c r="C29" s="2">
        <f>D3</f>
        <v>2200</v>
      </c>
      <c r="D29" s="8">
        <f>D28*C29</f>
        <v>16691.239505873145</v>
      </c>
    </row>
    <row r="31" spans="1:4" x14ac:dyDescent="0.3">
      <c r="D31" s="42"/>
    </row>
    <row r="34" spans="1:9" x14ac:dyDescent="0.3">
      <c r="C34" t="s">
        <v>77</v>
      </c>
      <c r="D34" s="40" t="s">
        <v>78</v>
      </c>
    </row>
    <row r="35" spans="1:9" x14ac:dyDescent="0.3">
      <c r="A35" s="9" t="s">
        <v>62</v>
      </c>
      <c r="D35" s="43" t="s">
        <v>80</v>
      </c>
      <c r="E35" s="43" t="s">
        <v>81</v>
      </c>
    </row>
    <row r="36" spans="1:9" x14ac:dyDescent="0.3">
      <c r="A36" s="2" t="s">
        <v>51</v>
      </c>
      <c r="B36" s="2"/>
      <c r="D36" s="3">
        <f>2075.32*1.07</f>
        <v>2220.5924000000005</v>
      </c>
      <c r="E36" s="2">
        <f>1576.62*1.07</f>
        <v>1686.9834000000001</v>
      </c>
    </row>
    <row r="37" spans="1:9" x14ac:dyDescent="0.3">
      <c r="A37" s="2" t="s">
        <v>52</v>
      </c>
      <c r="B37" s="10">
        <v>0.2</v>
      </c>
      <c r="D37" s="8">
        <f>D36*B37</f>
        <v>444.11848000000009</v>
      </c>
      <c r="E37" s="2">
        <f>E36*B37</f>
        <v>337.39668000000006</v>
      </c>
    </row>
    <row r="38" spans="1:9" x14ac:dyDescent="0.3">
      <c r="A38" s="30" t="s">
        <v>60</v>
      </c>
      <c r="B38" s="10"/>
      <c r="C38" s="8"/>
      <c r="D38" s="12">
        <f>D37+D36</f>
        <v>2664.7108800000005</v>
      </c>
      <c r="E38" s="12">
        <f>E37+E36</f>
        <v>2024.3800800000001</v>
      </c>
    </row>
    <row r="39" spans="1:9" x14ac:dyDescent="0.3">
      <c r="A39" s="2" t="s">
        <v>53</v>
      </c>
      <c r="B39" s="2">
        <v>20</v>
      </c>
      <c r="C39" s="3">
        <v>8</v>
      </c>
      <c r="D39" s="3">
        <f>C39*B39</f>
        <v>160</v>
      </c>
      <c r="E39" s="8">
        <f>B39*C39</f>
        <v>160</v>
      </c>
    </row>
    <row r="40" spans="1:9" x14ac:dyDescent="0.3">
      <c r="A40" s="2" t="s">
        <v>54</v>
      </c>
      <c r="B40" s="2">
        <v>20</v>
      </c>
      <c r="C40" s="3">
        <v>6</v>
      </c>
      <c r="D40" s="3">
        <f>B40*C40</f>
        <v>120</v>
      </c>
      <c r="E40" s="8">
        <f>B40*C40</f>
        <v>120</v>
      </c>
    </row>
    <row r="41" spans="1:9" x14ac:dyDescent="0.3">
      <c r="A41" s="11" t="s">
        <v>55</v>
      </c>
      <c r="B41" s="11"/>
      <c r="C41" s="11"/>
      <c r="D41" s="12">
        <f>SUM(D38:D40)</f>
        <v>2944.7108800000005</v>
      </c>
      <c r="E41" s="12">
        <f>SUM(E38:E40)</f>
        <v>2304.3800799999999</v>
      </c>
    </row>
    <row r="42" spans="1:9" x14ac:dyDescent="0.3">
      <c r="A42" s="2" t="s">
        <v>56</v>
      </c>
      <c r="B42" s="2"/>
      <c r="C42" s="2"/>
      <c r="D42" s="8">
        <f>D41/12</f>
        <v>245.39257333333339</v>
      </c>
      <c r="E42" s="8">
        <f>E41/12</f>
        <v>192.03167333333332</v>
      </c>
    </row>
    <row r="43" spans="1:9" x14ac:dyDescent="0.3">
      <c r="A43" s="2" t="s">
        <v>57</v>
      </c>
      <c r="B43" s="2"/>
      <c r="C43" s="2"/>
      <c r="D43" s="3">
        <f>(D41/3)/12</f>
        <v>81.797524444444463</v>
      </c>
      <c r="E43" s="3">
        <f>(E41/3)/12</f>
        <v>64.010557777777777</v>
      </c>
    </row>
    <row r="44" spans="1:9" x14ac:dyDescent="0.3">
      <c r="A44" s="11" t="s">
        <v>58</v>
      </c>
      <c r="B44" s="11"/>
      <c r="C44" s="11"/>
      <c r="D44" s="29">
        <f>D43+D42+D41</f>
        <v>3271.9009777777783</v>
      </c>
      <c r="E44" s="29">
        <f>E43+E42+E41</f>
        <v>2560.422311111111</v>
      </c>
      <c r="F44" s="9" t="s">
        <v>59</v>
      </c>
      <c r="G44" s="9"/>
      <c r="H44" s="9"/>
      <c r="I44" s="28">
        <f>D38+D42+D43+E38+E42+E43</f>
        <v>5272.3232888888897</v>
      </c>
    </row>
    <row r="46" spans="1:9" ht="27.6" x14ac:dyDescent="0.3">
      <c r="A46" s="16" t="s">
        <v>28</v>
      </c>
      <c r="B46" s="47" t="s">
        <v>29</v>
      </c>
      <c r="C46" s="48"/>
      <c r="D46" s="48"/>
      <c r="E46" s="48"/>
      <c r="F46" s="48"/>
      <c r="G46" s="49"/>
      <c r="H46" s="17" t="s">
        <v>30</v>
      </c>
      <c r="I46" s="17" t="s">
        <v>31</v>
      </c>
    </row>
    <row r="47" spans="1:9" x14ac:dyDescent="0.3">
      <c r="A47" s="18" t="s">
        <v>32</v>
      </c>
      <c r="B47" s="50" t="s">
        <v>33</v>
      </c>
      <c r="C47" s="51"/>
      <c r="D47" s="51"/>
      <c r="E47" s="51"/>
      <c r="F47" s="51"/>
      <c r="G47" s="52"/>
      <c r="H47" s="19">
        <v>0.2</v>
      </c>
      <c r="I47" s="20">
        <f>$I$44*H47</f>
        <v>1054.464657777778</v>
      </c>
    </row>
    <row r="48" spans="1:9" x14ac:dyDescent="0.3">
      <c r="A48" s="18" t="s">
        <v>34</v>
      </c>
      <c r="B48" s="50" t="s">
        <v>35</v>
      </c>
      <c r="C48" s="51"/>
      <c r="D48" s="51"/>
      <c r="E48" s="51"/>
      <c r="F48" s="51"/>
      <c r="G48" s="52"/>
      <c r="H48" s="19">
        <v>1.4999999999999999E-2</v>
      </c>
      <c r="I48" s="20">
        <f t="shared" ref="I48:I54" si="1">$I$44*H48</f>
        <v>79.084849333333338</v>
      </c>
    </row>
    <row r="49" spans="1:9" x14ac:dyDescent="0.3">
      <c r="A49" s="18" t="s">
        <v>36</v>
      </c>
      <c r="B49" s="50" t="s">
        <v>37</v>
      </c>
      <c r="C49" s="51"/>
      <c r="D49" s="51"/>
      <c r="E49" s="51"/>
      <c r="F49" s="51"/>
      <c r="G49" s="52"/>
      <c r="H49" s="19">
        <v>0.01</v>
      </c>
      <c r="I49" s="20">
        <f t="shared" si="1"/>
        <v>52.723232888888901</v>
      </c>
    </row>
    <row r="50" spans="1:9" x14ac:dyDescent="0.3">
      <c r="A50" s="18" t="s">
        <v>38</v>
      </c>
      <c r="B50" s="50" t="s">
        <v>39</v>
      </c>
      <c r="C50" s="51"/>
      <c r="D50" s="51"/>
      <c r="E50" s="51"/>
      <c r="F50" s="51"/>
      <c r="G50" s="52"/>
      <c r="H50" s="19">
        <v>2E-3</v>
      </c>
      <c r="I50" s="20">
        <f t="shared" si="1"/>
        <v>10.54464657777778</v>
      </c>
    </row>
    <row r="51" spans="1:9" x14ac:dyDescent="0.3">
      <c r="A51" s="18" t="s">
        <v>40</v>
      </c>
      <c r="B51" s="53" t="s">
        <v>41</v>
      </c>
      <c r="C51" s="54"/>
      <c r="D51" s="54"/>
      <c r="E51" s="54"/>
      <c r="F51" s="54"/>
      <c r="G51" s="55"/>
      <c r="H51" s="19">
        <v>2.5000000000000001E-2</v>
      </c>
      <c r="I51" s="20">
        <f t="shared" si="1"/>
        <v>131.80808222222225</v>
      </c>
    </row>
    <row r="52" spans="1:9" x14ac:dyDescent="0.3">
      <c r="A52" s="18" t="s">
        <v>42</v>
      </c>
      <c r="B52" s="53" t="s">
        <v>43</v>
      </c>
      <c r="C52" s="54"/>
      <c r="D52" s="54"/>
      <c r="E52" s="54"/>
      <c r="F52" s="54"/>
      <c r="G52" s="55"/>
      <c r="H52" s="21">
        <v>0.08</v>
      </c>
      <c r="I52" s="20">
        <f t="shared" si="1"/>
        <v>421.78586311111121</v>
      </c>
    </row>
    <row r="53" spans="1:9" x14ac:dyDescent="0.3">
      <c r="A53" s="18" t="s">
        <v>44</v>
      </c>
      <c r="B53" s="56" t="s">
        <v>45</v>
      </c>
      <c r="C53" s="57"/>
      <c r="D53" s="22" t="s">
        <v>46</v>
      </c>
      <c r="E53" s="23">
        <v>0.03</v>
      </c>
      <c r="F53" s="22" t="s">
        <v>47</v>
      </c>
      <c r="G53" s="24">
        <v>1</v>
      </c>
      <c r="H53" s="25">
        <f>ROUND((E53*G53),6)</f>
        <v>0.03</v>
      </c>
      <c r="I53" s="20">
        <f t="shared" si="1"/>
        <v>158.16969866666668</v>
      </c>
    </row>
    <row r="54" spans="1:9" x14ac:dyDescent="0.3">
      <c r="A54" s="18" t="s">
        <v>48</v>
      </c>
      <c r="B54" s="53" t="s">
        <v>49</v>
      </c>
      <c r="C54" s="54"/>
      <c r="D54" s="54"/>
      <c r="E54" s="54"/>
      <c r="F54" s="54"/>
      <c r="G54" s="55"/>
      <c r="H54" s="19">
        <v>6.0000000000000001E-3</v>
      </c>
      <c r="I54" s="20">
        <f t="shared" si="1"/>
        <v>31.633939733333339</v>
      </c>
    </row>
    <row r="55" spans="1:9" x14ac:dyDescent="0.3">
      <c r="A55" s="58" t="s">
        <v>50</v>
      </c>
      <c r="B55" s="59"/>
      <c r="C55" s="59"/>
      <c r="D55" s="59"/>
      <c r="E55" s="59"/>
      <c r="F55" s="59"/>
      <c r="G55" s="60"/>
      <c r="H55" s="26">
        <f>SUM(H47:H54)</f>
        <v>0.3680000000000001</v>
      </c>
      <c r="I55" s="27">
        <f>TRUNC(SUM(I47:I54),2)</f>
        <v>1940.21</v>
      </c>
    </row>
    <row r="57" spans="1:9" x14ac:dyDescent="0.3">
      <c r="A57" s="31" t="s">
        <v>63</v>
      </c>
      <c r="B57" s="2"/>
      <c r="C57" s="2"/>
      <c r="D57" s="2"/>
      <c r="E57" s="2"/>
      <c r="F57" s="2"/>
      <c r="G57" s="2"/>
      <c r="H57" s="2"/>
      <c r="I57" s="12">
        <f>I44+I55</f>
        <v>7212.5332888888897</v>
      </c>
    </row>
    <row r="58" spans="1:9" x14ac:dyDescent="0.3">
      <c r="A58" s="32" t="s">
        <v>61</v>
      </c>
      <c r="B58" s="2"/>
      <c r="C58" s="2"/>
      <c r="D58" s="2"/>
      <c r="E58" s="2"/>
      <c r="F58" s="2"/>
      <c r="G58" s="2"/>
      <c r="H58" s="41">
        <v>1</v>
      </c>
      <c r="I58" s="12">
        <f>I57*H58</f>
        <v>7212.5332888888897</v>
      </c>
    </row>
    <row r="62" spans="1:9" x14ac:dyDescent="0.3">
      <c r="A62" s="33" t="s">
        <v>64</v>
      </c>
    </row>
    <row r="63" spans="1:9" x14ac:dyDescent="0.3">
      <c r="A63" s="34" t="s">
        <v>65</v>
      </c>
    </row>
    <row r="64" spans="1:9" ht="28.5" customHeight="1" x14ac:dyDescent="0.3">
      <c r="A64" s="45" t="s">
        <v>66</v>
      </c>
      <c r="B64" s="45"/>
      <c r="C64" s="45"/>
      <c r="D64" s="45"/>
      <c r="E64" s="45"/>
      <c r="F64" s="45"/>
      <c r="G64" s="45"/>
      <c r="H64" s="45"/>
      <c r="I64" s="45"/>
    </row>
    <row r="65" spans="1:9" ht="32.25" customHeight="1" x14ac:dyDescent="0.3">
      <c r="A65" s="45" t="s">
        <v>67</v>
      </c>
      <c r="B65" s="45"/>
      <c r="C65" s="45"/>
      <c r="D65" s="45"/>
      <c r="E65" s="45"/>
      <c r="F65" s="45"/>
      <c r="G65" s="45"/>
      <c r="H65" s="45"/>
      <c r="I65" s="45"/>
    </row>
    <row r="66" spans="1:9" ht="43.5" customHeight="1" x14ac:dyDescent="0.3">
      <c r="A66" s="45" t="s">
        <v>68</v>
      </c>
      <c r="B66" s="45"/>
      <c r="C66" s="45"/>
      <c r="D66" s="45"/>
      <c r="E66" s="45"/>
      <c r="F66" s="45"/>
      <c r="G66" s="45"/>
      <c r="H66" s="45"/>
      <c r="I66" s="45"/>
    </row>
    <row r="67" spans="1:9" x14ac:dyDescent="0.3">
      <c r="A67" s="34"/>
    </row>
    <row r="68" spans="1:9" x14ac:dyDescent="0.3">
      <c r="A68" s="34"/>
    </row>
    <row r="69" spans="1:9" x14ac:dyDescent="0.3">
      <c r="A69" s="34"/>
    </row>
    <row r="70" spans="1:9" x14ac:dyDescent="0.3">
      <c r="A70" s="35" t="s">
        <v>69</v>
      </c>
    </row>
    <row r="71" spans="1:9" ht="44.25" customHeight="1" x14ac:dyDescent="0.3">
      <c r="A71" s="61" t="s">
        <v>70</v>
      </c>
      <c r="B71" s="61"/>
      <c r="C71" s="61"/>
      <c r="D71" s="61"/>
      <c r="E71" s="61"/>
      <c r="F71" s="61"/>
      <c r="G71" s="61"/>
      <c r="H71" s="61"/>
      <c r="I71" s="61"/>
    </row>
    <row r="72" spans="1:9" ht="33.75" customHeight="1" x14ac:dyDescent="0.3">
      <c r="A72" s="61" t="s">
        <v>71</v>
      </c>
      <c r="B72" s="61"/>
      <c r="C72" s="61"/>
      <c r="D72" s="61"/>
      <c r="E72" s="61"/>
      <c r="F72" s="61"/>
      <c r="G72" s="61"/>
      <c r="H72" s="61"/>
      <c r="I72" s="61"/>
    </row>
    <row r="73" spans="1:9" ht="47.25" customHeight="1" x14ac:dyDescent="0.3">
      <c r="A73" s="61" t="s">
        <v>72</v>
      </c>
      <c r="B73" s="61"/>
      <c r="C73" s="61"/>
      <c r="D73" s="61"/>
      <c r="E73" s="61"/>
      <c r="F73" s="61"/>
      <c r="G73" s="61"/>
      <c r="H73" s="61"/>
      <c r="I73" s="61"/>
    </row>
    <row r="74" spans="1:9" x14ac:dyDescent="0.3">
      <c r="A74" s="36" t="s">
        <v>73</v>
      </c>
    </row>
    <row r="75" spans="1:9" ht="90" customHeight="1" x14ac:dyDescent="0.3">
      <c r="A75" s="61" t="s">
        <v>74</v>
      </c>
      <c r="B75" s="61"/>
      <c r="C75" s="61"/>
      <c r="D75" s="61"/>
      <c r="E75" s="61"/>
      <c r="F75" s="61"/>
      <c r="G75" s="61"/>
      <c r="H75" s="61"/>
      <c r="I75" s="61"/>
    </row>
    <row r="76" spans="1:9" ht="29.25" customHeight="1" x14ac:dyDescent="0.3">
      <c r="A76" s="61" t="s">
        <v>75</v>
      </c>
      <c r="B76" s="61"/>
      <c r="C76" s="61"/>
      <c r="D76" s="61"/>
      <c r="E76" s="61"/>
      <c r="F76" s="61"/>
      <c r="G76" s="61"/>
      <c r="H76" s="61"/>
      <c r="I76" s="61"/>
    </row>
    <row r="77" spans="1:9" ht="30" customHeight="1" x14ac:dyDescent="0.3">
      <c r="A77" s="62" t="s">
        <v>76</v>
      </c>
      <c r="B77" s="62"/>
      <c r="C77" s="62"/>
      <c r="D77" s="62"/>
      <c r="E77" s="62"/>
      <c r="F77" s="62"/>
      <c r="G77" s="62"/>
      <c r="H77" s="62"/>
      <c r="I77" s="62"/>
    </row>
  </sheetData>
  <mergeCells count="20">
    <mergeCell ref="A76:I76"/>
    <mergeCell ref="A77:I77"/>
    <mergeCell ref="A65:I65"/>
    <mergeCell ref="A66:I66"/>
    <mergeCell ref="A71:I71"/>
    <mergeCell ref="A72:I72"/>
    <mergeCell ref="A73:I73"/>
    <mergeCell ref="A75:I75"/>
    <mergeCell ref="A64:I64"/>
    <mergeCell ref="A1:F1"/>
    <mergeCell ref="B46:G46"/>
    <mergeCell ref="B47:G47"/>
    <mergeCell ref="B48:G48"/>
    <mergeCell ref="B49:G49"/>
    <mergeCell ref="B50:G50"/>
    <mergeCell ref="B51:G51"/>
    <mergeCell ref="B52:G52"/>
    <mergeCell ref="B53:C53"/>
    <mergeCell ref="B54:G54"/>
    <mergeCell ref="A55:G55"/>
  </mergeCells>
  <pageMargins left="0.511811024" right="0.511811024" top="0.78740157499999996" bottom="0.78740157499999996" header="0.31496062000000002" footer="0.31496062000000002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77"/>
  <sheetViews>
    <sheetView workbookViewId="0">
      <selection sqref="A1:F1"/>
    </sheetView>
  </sheetViews>
  <sheetFormatPr defaultRowHeight="14.4" x14ac:dyDescent="0.3"/>
  <cols>
    <col min="1" max="1" width="32.33203125" bestFit="1" customWidth="1"/>
    <col min="2" max="2" width="11.33203125" bestFit="1" customWidth="1"/>
    <col min="3" max="3" width="17" bestFit="1" customWidth="1"/>
    <col min="4" max="4" width="10.5546875" bestFit="1" customWidth="1"/>
    <col min="5" max="5" width="10.6640625" customWidth="1"/>
    <col min="6" max="6" width="10.5546875" bestFit="1" customWidth="1"/>
    <col min="8" max="8" width="9.33203125" bestFit="1" customWidth="1"/>
    <col min="9" max="9" width="9.5546875" bestFit="1" customWidth="1"/>
  </cols>
  <sheetData>
    <row r="1" spans="1:6" x14ac:dyDescent="0.3">
      <c r="A1" s="46" t="s">
        <v>7</v>
      </c>
      <c r="B1" s="46"/>
      <c r="C1" s="46"/>
      <c r="D1" s="46"/>
      <c r="E1" s="46"/>
      <c r="F1" s="46"/>
    </row>
    <row r="2" spans="1:6" x14ac:dyDescent="0.3">
      <c r="A2" s="44"/>
      <c r="B2" s="38"/>
      <c r="C2" s="44"/>
      <c r="D2" s="39"/>
      <c r="E2" s="44"/>
      <c r="F2" s="44"/>
    </row>
    <row r="3" spans="1:6" x14ac:dyDescent="0.3">
      <c r="A3" s="9" t="s">
        <v>91</v>
      </c>
      <c r="B3" t="s">
        <v>23</v>
      </c>
      <c r="D3">
        <v>1600</v>
      </c>
      <c r="E3" s="63" t="s">
        <v>90</v>
      </c>
    </row>
    <row r="5" spans="1:6" x14ac:dyDescent="0.3">
      <c r="A5" s="44" t="s">
        <v>9</v>
      </c>
      <c r="B5" s="6">
        <v>100000</v>
      </c>
      <c r="C5" s="44"/>
    </row>
    <row r="6" spans="1:6" x14ac:dyDescent="0.3">
      <c r="A6" s="44" t="s">
        <v>10</v>
      </c>
      <c r="B6" s="6">
        <f>B5*30%</f>
        <v>30000</v>
      </c>
      <c r="C6" s="44"/>
      <c r="D6" s="44"/>
      <c r="E6" s="44"/>
      <c r="F6" s="44"/>
    </row>
    <row r="7" spans="1:6" x14ac:dyDescent="0.3">
      <c r="A7" s="44" t="s">
        <v>11</v>
      </c>
      <c r="B7" s="6">
        <f>B5-B6</f>
        <v>70000</v>
      </c>
      <c r="C7" s="44"/>
      <c r="D7" s="44"/>
      <c r="E7" s="44"/>
      <c r="F7" s="44"/>
    </row>
    <row r="8" spans="1:6" x14ac:dyDescent="0.3">
      <c r="A8" s="44" t="s">
        <v>12</v>
      </c>
      <c r="B8" s="6">
        <v>60</v>
      </c>
      <c r="C8" s="6">
        <f>B7/B8</f>
        <v>1166.6666666666667</v>
      </c>
      <c r="D8" s="44"/>
      <c r="E8" s="44"/>
      <c r="F8" s="44"/>
    </row>
    <row r="9" spans="1:6" x14ac:dyDescent="0.3">
      <c r="A9" s="44" t="s">
        <v>14</v>
      </c>
      <c r="B9" s="14">
        <v>0.14749999999999999</v>
      </c>
      <c r="C9" s="7">
        <f>B5*B9/12</f>
        <v>1229.1666666666667</v>
      </c>
      <c r="D9" s="44"/>
      <c r="E9" s="44"/>
      <c r="F9" s="44"/>
    </row>
    <row r="11" spans="1:6" x14ac:dyDescent="0.3">
      <c r="A11" s="1" t="s">
        <v>0</v>
      </c>
      <c r="B11" s="1" t="s">
        <v>8</v>
      </c>
      <c r="C11" s="1" t="s">
        <v>22</v>
      </c>
      <c r="D11" s="1" t="s">
        <v>1</v>
      </c>
    </row>
    <row r="12" spans="1:6" x14ac:dyDescent="0.3">
      <c r="A12" s="2" t="s">
        <v>2</v>
      </c>
      <c r="B12" s="2">
        <v>5.5</v>
      </c>
      <c r="C12" s="2">
        <v>5</v>
      </c>
      <c r="D12" s="3">
        <f t="shared" ref="D12:D20" si="0">B12/C12</f>
        <v>1.1000000000000001</v>
      </c>
    </row>
    <row r="13" spans="1:6" x14ac:dyDescent="0.3">
      <c r="A13" s="2" t="s">
        <v>6</v>
      </c>
      <c r="B13" s="3">
        <v>500</v>
      </c>
      <c r="C13" s="2">
        <f>D3</f>
        <v>1600</v>
      </c>
      <c r="D13" s="3">
        <f t="shared" si="0"/>
        <v>0.3125</v>
      </c>
    </row>
    <row r="14" spans="1:6" x14ac:dyDescent="0.3">
      <c r="A14" s="2" t="s">
        <v>21</v>
      </c>
      <c r="B14" s="3">
        <f>B5*3%</f>
        <v>3000</v>
      </c>
      <c r="C14" s="2">
        <f>C13*12</f>
        <v>19200</v>
      </c>
      <c r="D14" s="3">
        <f t="shared" si="0"/>
        <v>0.15625</v>
      </c>
    </row>
    <row r="15" spans="1:6" x14ac:dyDescent="0.3">
      <c r="A15" s="2" t="s">
        <v>3</v>
      </c>
      <c r="B15" s="3">
        <v>400</v>
      </c>
      <c r="C15" s="2">
        <f>C13</f>
        <v>1600</v>
      </c>
      <c r="D15" s="3">
        <f t="shared" si="0"/>
        <v>0.25</v>
      </c>
    </row>
    <row r="16" spans="1:6" x14ac:dyDescent="0.3">
      <c r="A16" s="2" t="s">
        <v>27</v>
      </c>
      <c r="B16" s="3">
        <f>1300*4</f>
        <v>5200</v>
      </c>
      <c r="C16" s="2">
        <v>70000</v>
      </c>
      <c r="D16" s="3">
        <f t="shared" si="0"/>
        <v>7.4285714285714288E-2</v>
      </c>
    </row>
    <row r="17" spans="1:4" x14ac:dyDescent="0.3">
      <c r="A17" s="2" t="s">
        <v>26</v>
      </c>
      <c r="B17" s="3">
        <v>150</v>
      </c>
      <c r="C17" s="2">
        <f>C15</f>
        <v>1600</v>
      </c>
      <c r="D17" s="3">
        <f t="shared" si="0"/>
        <v>9.375E-2</v>
      </c>
    </row>
    <row r="18" spans="1:4" x14ac:dyDescent="0.3">
      <c r="A18" s="2" t="s">
        <v>4</v>
      </c>
      <c r="B18" s="3">
        <f>I58</f>
        <v>7212.5332888888897</v>
      </c>
      <c r="C18" s="2">
        <f>C15</f>
        <v>1600</v>
      </c>
      <c r="D18" s="3">
        <f t="shared" si="0"/>
        <v>4.5078333055555557</v>
      </c>
    </row>
    <row r="19" spans="1:4" x14ac:dyDescent="0.3">
      <c r="A19" s="2" t="s">
        <v>13</v>
      </c>
      <c r="B19" s="3">
        <f>C8</f>
        <v>1166.6666666666667</v>
      </c>
      <c r="C19" s="2">
        <f>C18</f>
        <v>1600</v>
      </c>
      <c r="D19" s="3">
        <f t="shared" si="0"/>
        <v>0.72916666666666674</v>
      </c>
    </row>
    <row r="20" spans="1:4" x14ac:dyDescent="0.3">
      <c r="A20" s="2" t="s">
        <v>15</v>
      </c>
      <c r="B20" s="8">
        <f>C9</f>
        <v>1229.1666666666667</v>
      </c>
      <c r="C20" s="2">
        <f>C19</f>
        <v>1600</v>
      </c>
      <c r="D20" s="3">
        <f t="shared" si="0"/>
        <v>0.76822916666666674</v>
      </c>
    </row>
    <row r="21" spans="1:4" x14ac:dyDescent="0.3">
      <c r="A21" s="4" t="s">
        <v>24</v>
      </c>
      <c r="B21" s="4"/>
      <c r="C21" s="4" t="s">
        <v>5</v>
      </c>
      <c r="D21" s="5">
        <f>SUM(D12:D20)</f>
        <v>7.992014853174604</v>
      </c>
    </row>
    <row r="23" spans="1:4" x14ac:dyDescent="0.3">
      <c r="A23" s="2" t="s">
        <v>18</v>
      </c>
      <c r="B23" s="2"/>
      <c r="C23" s="10">
        <v>0.08</v>
      </c>
      <c r="D23" s="8">
        <f>D21*C23</f>
        <v>0.63936118825396837</v>
      </c>
    </row>
    <row r="24" spans="1:4" x14ac:dyDescent="0.3">
      <c r="A24" s="2" t="s">
        <v>19</v>
      </c>
      <c r="B24" s="2"/>
      <c r="C24" s="10">
        <v>0.08</v>
      </c>
      <c r="D24" s="8">
        <f>D21*C24</f>
        <v>0.63936118825396837</v>
      </c>
    </row>
    <row r="25" spans="1:4" x14ac:dyDescent="0.3">
      <c r="A25" s="11" t="s">
        <v>16</v>
      </c>
      <c r="B25" s="11"/>
      <c r="C25" s="11"/>
      <c r="D25" s="12">
        <f>D24+D23+D21</f>
        <v>9.2707372296825401</v>
      </c>
    </row>
    <row r="26" spans="1:4" x14ac:dyDescent="0.3">
      <c r="A26" s="2" t="s">
        <v>17</v>
      </c>
      <c r="B26" s="2"/>
      <c r="C26" s="13">
        <v>6.6500000000000004E-2</v>
      </c>
      <c r="D26" s="8">
        <f>D25*C26</f>
        <v>0.61650402577388896</v>
      </c>
    </row>
    <row r="27" spans="1:4" x14ac:dyDescent="0.3">
      <c r="A27" s="2" t="s">
        <v>20</v>
      </c>
      <c r="B27" s="2"/>
      <c r="C27" s="10"/>
      <c r="D27" s="8"/>
    </row>
    <row r="28" spans="1:4" x14ac:dyDescent="0.3">
      <c r="A28" s="11" t="s">
        <v>25</v>
      </c>
      <c r="B28" s="11"/>
      <c r="C28" s="11"/>
      <c r="D28" s="12">
        <f>D25+D26</f>
        <v>9.8872412554564288</v>
      </c>
    </row>
    <row r="29" spans="1:4" x14ac:dyDescent="0.3">
      <c r="A29" s="15" t="s">
        <v>83</v>
      </c>
      <c r="B29" s="2"/>
      <c r="C29" s="2">
        <f>D3</f>
        <v>1600</v>
      </c>
      <c r="D29" s="8">
        <f>D28*C29</f>
        <v>15819.586008730286</v>
      </c>
    </row>
    <row r="31" spans="1:4" x14ac:dyDescent="0.3">
      <c r="D31" s="42"/>
    </row>
    <row r="34" spans="1:9" x14ac:dyDescent="0.3">
      <c r="C34" t="s">
        <v>77</v>
      </c>
      <c r="D34" s="40" t="s">
        <v>78</v>
      </c>
    </row>
    <row r="35" spans="1:9" x14ac:dyDescent="0.3">
      <c r="A35" s="9" t="s">
        <v>62</v>
      </c>
      <c r="D35" s="43" t="s">
        <v>80</v>
      </c>
      <c r="E35" s="43" t="s">
        <v>81</v>
      </c>
    </row>
    <row r="36" spans="1:9" x14ac:dyDescent="0.3">
      <c r="A36" s="2" t="s">
        <v>51</v>
      </c>
      <c r="B36" s="2"/>
      <c r="D36" s="3">
        <f>2075.32*1.07</f>
        <v>2220.5924000000005</v>
      </c>
      <c r="E36" s="2">
        <f>1576.62*1.07</f>
        <v>1686.9834000000001</v>
      </c>
    </row>
    <row r="37" spans="1:9" x14ac:dyDescent="0.3">
      <c r="A37" s="2" t="s">
        <v>52</v>
      </c>
      <c r="B37" s="10">
        <v>0.2</v>
      </c>
      <c r="D37" s="8">
        <f>D36*B37</f>
        <v>444.11848000000009</v>
      </c>
      <c r="E37" s="2">
        <f>E36*B37</f>
        <v>337.39668000000006</v>
      </c>
    </row>
    <row r="38" spans="1:9" x14ac:dyDescent="0.3">
      <c r="A38" s="30" t="s">
        <v>60</v>
      </c>
      <c r="B38" s="10"/>
      <c r="C38" s="8"/>
      <c r="D38" s="12">
        <f>D37+D36</f>
        <v>2664.7108800000005</v>
      </c>
      <c r="E38" s="12">
        <f>E37+E36</f>
        <v>2024.3800800000001</v>
      </c>
    </row>
    <row r="39" spans="1:9" x14ac:dyDescent="0.3">
      <c r="A39" s="2" t="s">
        <v>53</v>
      </c>
      <c r="B39" s="2">
        <v>20</v>
      </c>
      <c r="C39" s="3">
        <v>8</v>
      </c>
      <c r="D39" s="3">
        <f>C39*B39</f>
        <v>160</v>
      </c>
      <c r="E39" s="8">
        <f>B39*C39</f>
        <v>160</v>
      </c>
    </row>
    <row r="40" spans="1:9" x14ac:dyDescent="0.3">
      <c r="A40" s="2" t="s">
        <v>54</v>
      </c>
      <c r="B40" s="2">
        <v>20</v>
      </c>
      <c r="C40" s="3">
        <v>6</v>
      </c>
      <c r="D40" s="3">
        <f>B40*C40</f>
        <v>120</v>
      </c>
      <c r="E40" s="8">
        <f>B40*C40</f>
        <v>120</v>
      </c>
    </row>
    <row r="41" spans="1:9" x14ac:dyDescent="0.3">
      <c r="A41" s="11" t="s">
        <v>55</v>
      </c>
      <c r="B41" s="11"/>
      <c r="C41" s="11"/>
      <c r="D41" s="12">
        <f>SUM(D38:D40)</f>
        <v>2944.7108800000005</v>
      </c>
      <c r="E41" s="12">
        <f>SUM(E38:E40)</f>
        <v>2304.3800799999999</v>
      </c>
    </row>
    <row r="42" spans="1:9" x14ac:dyDescent="0.3">
      <c r="A42" s="2" t="s">
        <v>56</v>
      </c>
      <c r="B42" s="2"/>
      <c r="C42" s="2"/>
      <c r="D42" s="8">
        <f>D41/12</f>
        <v>245.39257333333339</v>
      </c>
      <c r="E42" s="8">
        <f>E41/12</f>
        <v>192.03167333333332</v>
      </c>
    </row>
    <row r="43" spans="1:9" x14ac:dyDescent="0.3">
      <c r="A43" s="2" t="s">
        <v>57</v>
      </c>
      <c r="B43" s="2"/>
      <c r="C43" s="2"/>
      <c r="D43" s="3">
        <f>(D41/3)/12</f>
        <v>81.797524444444463</v>
      </c>
      <c r="E43" s="3">
        <f>(E41/3)/12</f>
        <v>64.010557777777777</v>
      </c>
    </row>
    <row r="44" spans="1:9" x14ac:dyDescent="0.3">
      <c r="A44" s="11" t="s">
        <v>58</v>
      </c>
      <c r="B44" s="11"/>
      <c r="C44" s="11"/>
      <c r="D44" s="29">
        <f>D43+D42+D41</f>
        <v>3271.9009777777783</v>
      </c>
      <c r="E44" s="29">
        <f>E43+E42+E41</f>
        <v>2560.422311111111</v>
      </c>
      <c r="F44" s="9" t="s">
        <v>59</v>
      </c>
      <c r="G44" s="9"/>
      <c r="H44" s="9"/>
      <c r="I44" s="28">
        <f>D38+D42+D43+E38+E42+E43</f>
        <v>5272.3232888888897</v>
      </c>
    </row>
    <row r="46" spans="1:9" ht="27.6" x14ac:dyDescent="0.3">
      <c r="A46" s="16" t="s">
        <v>28</v>
      </c>
      <c r="B46" s="47" t="s">
        <v>29</v>
      </c>
      <c r="C46" s="48"/>
      <c r="D46" s="48"/>
      <c r="E46" s="48"/>
      <c r="F46" s="48"/>
      <c r="G46" s="49"/>
      <c r="H46" s="17" t="s">
        <v>30</v>
      </c>
      <c r="I46" s="17" t="s">
        <v>31</v>
      </c>
    </row>
    <row r="47" spans="1:9" x14ac:dyDescent="0.3">
      <c r="A47" s="18" t="s">
        <v>32</v>
      </c>
      <c r="B47" s="50" t="s">
        <v>33</v>
      </c>
      <c r="C47" s="51"/>
      <c r="D47" s="51"/>
      <c r="E47" s="51"/>
      <c r="F47" s="51"/>
      <c r="G47" s="52"/>
      <c r="H47" s="19">
        <v>0.2</v>
      </c>
      <c r="I47" s="20">
        <f>$I$44*H47</f>
        <v>1054.464657777778</v>
      </c>
    </row>
    <row r="48" spans="1:9" x14ac:dyDescent="0.3">
      <c r="A48" s="18" t="s">
        <v>34</v>
      </c>
      <c r="B48" s="50" t="s">
        <v>35</v>
      </c>
      <c r="C48" s="51"/>
      <c r="D48" s="51"/>
      <c r="E48" s="51"/>
      <c r="F48" s="51"/>
      <c r="G48" s="52"/>
      <c r="H48" s="19">
        <v>1.4999999999999999E-2</v>
      </c>
      <c r="I48" s="20">
        <f t="shared" ref="I48:I54" si="1">$I$44*H48</f>
        <v>79.084849333333338</v>
      </c>
    </row>
    <row r="49" spans="1:9" x14ac:dyDescent="0.3">
      <c r="A49" s="18" t="s">
        <v>36</v>
      </c>
      <c r="B49" s="50" t="s">
        <v>37</v>
      </c>
      <c r="C49" s="51"/>
      <c r="D49" s="51"/>
      <c r="E49" s="51"/>
      <c r="F49" s="51"/>
      <c r="G49" s="52"/>
      <c r="H49" s="19">
        <v>0.01</v>
      </c>
      <c r="I49" s="20">
        <f t="shared" si="1"/>
        <v>52.723232888888901</v>
      </c>
    </row>
    <row r="50" spans="1:9" x14ac:dyDescent="0.3">
      <c r="A50" s="18" t="s">
        <v>38</v>
      </c>
      <c r="B50" s="50" t="s">
        <v>39</v>
      </c>
      <c r="C50" s="51"/>
      <c r="D50" s="51"/>
      <c r="E50" s="51"/>
      <c r="F50" s="51"/>
      <c r="G50" s="52"/>
      <c r="H50" s="19">
        <v>2E-3</v>
      </c>
      <c r="I50" s="20">
        <f t="shared" si="1"/>
        <v>10.54464657777778</v>
      </c>
    </row>
    <row r="51" spans="1:9" x14ac:dyDescent="0.3">
      <c r="A51" s="18" t="s">
        <v>40</v>
      </c>
      <c r="B51" s="53" t="s">
        <v>41</v>
      </c>
      <c r="C51" s="54"/>
      <c r="D51" s="54"/>
      <c r="E51" s="54"/>
      <c r="F51" s="54"/>
      <c r="G51" s="55"/>
      <c r="H51" s="19">
        <v>2.5000000000000001E-2</v>
      </c>
      <c r="I51" s="20">
        <f t="shared" si="1"/>
        <v>131.80808222222225</v>
      </c>
    </row>
    <row r="52" spans="1:9" x14ac:dyDescent="0.3">
      <c r="A52" s="18" t="s">
        <v>42</v>
      </c>
      <c r="B52" s="53" t="s">
        <v>43</v>
      </c>
      <c r="C52" s="54"/>
      <c r="D52" s="54"/>
      <c r="E52" s="54"/>
      <c r="F52" s="54"/>
      <c r="G52" s="55"/>
      <c r="H52" s="21">
        <v>0.08</v>
      </c>
      <c r="I52" s="20">
        <f t="shared" si="1"/>
        <v>421.78586311111121</v>
      </c>
    </row>
    <row r="53" spans="1:9" x14ac:dyDescent="0.3">
      <c r="A53" s="18" t="s">
        <v>44</v>
      </c>
      <c r="B53" s="56" t="s">
        <v>45</v>
      </c>
      <c r="C53" s="57"/>
      <c r="D53" s="22" t="s">
        <v>46</v>
      </c>
      <c r="E53" s="23">
        <v>0.03</v>
      </c>
      <c r="F53" s="22" t="s">
        <v>47</v>
      </c>
      <c r="G53" s="24">
        <v>1</v>
      </c>
      <c r="H53" s="25">
        <f>ROUND((E53*G53),6)</f>
        <v>0.03</v>
      </c>
      <c r="I53" s="20">
        <f t="shared" si="1"/>
        <v>158.16969866666668</v>
      </c>
    </row>
    <row r="54" spans="1:9" x14ac:dyDescent="0.3">
      <c r="A54" s="18" t="s">
        <v>48</v>
      </c>
      <c r="B54" s="53" t="s">
        <v>49</v>
      </c>
      <c r="C54" s="54"/>
      <c r="D54" s="54"/>
      <c r="E54" s="54"/>
      <c r="F54" s="54"/>
      <c r="G54" s="55"/>
      <c r="H54" s="19">
        <v>6.0000000000000001E-3</v>
      </c>
      <c r="I54" s="20">
        <f t="shared" si="1"/>
        <v>31.633939733333339</v>
      </c>
    </row>
    <row r="55" spans="1:9" x14ac:dyDescent="0.3">
      <c r="A55" s="58" t="s">
        <v>50</v>
      </c>
      <c r="B55" s="59"/>
      <c r="C55" s="59"/>
      <c r="D55" s="59"/>
      <c r="E55" s="59"/>
      <c r="F55" s="59"/>
      <c r="G55" s="60"/>
      <c r="H55" s="26">
        <f>SUM(H47:H54)</f>
        <v>0.3680000000000001</v>
      </c>
      <c r="I55" s="27">
        <f>TRUNC(SUM(I47:I54),2)</f>
        <v>1940.21</v>
      </c>
    </row>
    <row r="57" spans="1:9" x14ac:dyDescent="0.3">
      <c r="A57" s="31" t="s">
        <v>63</v>
      </c>
      <c r="B57" s="2"/>
      <c r="C57" s="2"/>
      <c r="D57" s="2"/>
      <c r="E57" s="2"/>
      <c r="F57" s="2"/>
      <c r="G57" s="2"/>
      <c r="H57" s="2"/>
      <c r="I57" s="12">
        <f>I44+I55</f>
        <v>7212.5332888888897</v>
      </c>
    </row>
    <row r="58" spans="1:9" x14ac:dyDescent="0.3">
      <c r="A58" s="32" t="s">
        <v>61</v>
      </c>
      <c r="B58" s="2"/>
      <c r="C58" s="2"/>
      <c r="D58" s="2"/>
      <c r="E58" s="2"/>
      <c r="F58" s="2"/>
      <c r="G58" s="2"/>
      <c r="H58" s="41">
        <v>1</v>
      </c>
      <c r="I58" s="12">
        <f>I57*H58</f>
        <v>7212.5332888888897</v>
      </c>
    </row>
    <row r="62" spans="1:9" x14ac:dyDescent="0.3">
      <c r="A62" s="33" t="s">
        <v>64</v>
      </c>
    </row>
    <row r="63" spans="1:9" x14ac:dyDescent="0.3">
      <c r="A63" s="34" t="s">
        <v>65</v>
      </c>
    </row>
    <row r="64" spans="1:9" ht="28.5" customHeight="1" x14ac:dyDescent="0.3">
      <c r="A64" s="45" t="s">
        <v>66</v>
      </c>
      <c r="B64" s="45"/>
      <c r="C64" s="45"/>
      <c r="D64" s="45"/>
      <c r="E64" s="45"/>
      <c r="F64" s="45"/>
      <c r="G64" s="45"/>
      <c r="H64" s="45"/>
      <c r="I64" s="45"/>
    </row>
    <row r="65" spans="1:9" ht="32.25" customHeight="1" x14ac:dyDescent="0.3">
      <c r="A65" s="45" t="s">
        <v>67</v>
      </c>
      <c r="B65" s="45"/>
      <c r="C65" s="45"/>
      <c r="D65" s="45"/>
      <c r="E65" s="45"/>
      <c r="F65" s="45"/>
      <c r="G65" s="45"/>
      <c r="H65" s="45"/>
      <c r="I65" s="45"/>
    </row>
    <row r="66" spans="1:9" ht="43.5" customHeight="1" x14ac:dyDescent="0.3">
      <c r="A66" s="45" t="s">
        <v>68</v>
      </c>
      <c r="B66" s="45"/>
      <c r="C66" s="45"/>
      <c r="D66" s="45"/>
      <c r="E66" s="45"/>
      <c r="F66" s="45"/>
      <c r="G66" s="45"/>
      <c r="H66" s="45"/>
      <c r="I66" s="45"/>
    </row>
    <row r="67" spans="1:9" x14ac:dyDescent="0.3">
      <c r="A67" s="34"/>
    </row>
    <row r="68" spans="1:9" x14ac:dyDescent="0.3">
      <c r="A68" s="34"/>
    </row>
    <row r="69" spans="1:9" x14ac:dyDescent="0.3">
      <c r="A69" s="34"/>
    </row>
    <row r="70" spans="1:9" x14ac:dyDescent="0.3">
      <c r="A70" s="35" t="s">
        <v>69</v>
      </c>
    </row>
    <row r="71" spans="1:9" ht="44.25" customHeight="1" x14ac:dyDescent="0.3">
      <c r="A71" s="61" t="s">
        <v>70</v>
      </c>
      <c r="B71" s="61"/>
      <c r="C71" s="61"/>
      <c r="D71" s="61"/>
      <c r="E71" s="61"/>
      <c r="F71" s="61"/>
      <c r="G71" s="61"/>
      <c r="H71" s="61"/>
      <c r="I71" s="61"/>
    </row>
    <row r="72" spans="1:9" ht="33.75" customHeight="1" x14ac:dyDescent="0.3">
      <c r="A72" s="61" t="s">
        <v>71</v>
      </c>
      <c r="B72" s="61"/>
      <c r="C72" s="61"/>
      <c r="D72" s="61"/>
      <c r="E72" s="61"/>
      <c r="F72" s="61"/>
      <c r="G72" s="61"/>
      <c r="H72" s="61"/>
      <c r="I72" s="61"/>
    </row>
    <row r="73" spans="1:9" ht="47.25" customHeight="1" x14ac:dyDescent="0.3">
      <c r="A73" s="61" t="s">
        <v>72</v>
      </c>
      <c r="B73" s="61"/>
      <c r="C73" s="61"/>
      <c r="D73" s="61"/>
      <c r="E73" s="61"/>
      <c r="F73" s="61"/>
      <c r="G73" s="61"/>
      <c r="H73" s="61"/>
      <c r="I73" s="61"/>
    </row>
    <row r="74" spans="1:9" x14ac:dyDescent="0.3">
      <c r="A74" s="36" t="s">
        <v>73</v>
      </c>
    </row>
    <row r="75" spans="1:9" ht="90" customHeight="1" x14ac:dyDescent="0.3">
      <c r="A75" s="61" t="s">
        <v>74</v>
      </c>
      <c r="B75" s="61"/>
      <c r="C75" s="61"/>
      <c r="D75" s="61"/>
      <c r="E75" s="61"/>
      <c r="F75" s="61"/>
      <c r="G75" s="61"/>
      <c r="H75" s="61"/>
      <c r="I75" s="61"/>
    </row>
    <row r="76" spans="1:9" ht="29.25" customHeight="1" x14ac:dyDescent="0.3">
      <c r="A76" s="61" t="s">
        <v>75</v>
      </c>
      <c r="B76" s="61"/>
      <c r="C76" s="61"/>
      <c r="D76" s="61"/>
      <c r="E76" s="61"/>
      <c r="F76" s="61"/>
      <c r="G76" s="61"/>
      <c r="H76" s="61"/>
      <c r="I76" s="61"/>
    </row>
    <row r="77" spans="1:9" ht="30" customHeight="1" x14ac:dyDescent="0.3">
      <c r="A77" s="62" t="s">
        <v>76</v>
      </c>
      <c r="B77" s="62"/>
      <c r="C77" s="62"/>
      <c r="D77" s="62"/>
      <c r="E77" s="62"/>
      <c r="F77" s="62"/>
      <c r="G77" s="62"/>
      <c r="H77" s="62"/>
      <c r="I77" s="62"/>
    </row>
  </sheetData>
  <mergeCells count="20">
    <mergeCell ref="A76:I76"/>
    <mergeCell ref="A77:I77"/>
    <mergeCell ref="A65:I65"/>
    <mergeCell ref="A66:I66"/>
    <mergeCell ref="A71:I71"/>
    <mergeCell ref="A72:I72"/>
    <mergeCell ref="A73:I73"/>
    <mergeCell ref="A75:I75"/>
    <mergeCell ref="B51:G51"/>
    <mergeCell ref="B52:G52"/>
    <mergeCell ref="B53:C53"/>
    <mergeCell ref="B54:G54"/>
    <mergeCell ref="A55:G55"/>
    <mergeCell ref="A64:I64"/>
    <mergeCell ref="A1:F1"/>
    <mergeCell ref="B46:G46"/>
    <mergeCell ref="B47:G47"/>
    <mergeCell ref="B48:G48"/>
    <mergeCell ref="B49:G49"/>
    <mergeCell ref="B50:G50"/>
  </mergeCells>
  <pageMargins left="0.511811024" right="0.511811024" top="0.78740157499999996" bottom="0.78740157499999996" header="0.31496062000000002" footer="0.31496062000000002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linha 1 e 3</vt:lpstr>
      <vt:lpstr>linha 2</vt:lpstr>
      <vt:lpstr>linha 4</vt:lpstr>
      <vt:lpstr>linha 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Cezar</dc:creator>
  <cp:lastModifiedBy>Usuário</cp:lastModifiedBy>
  <cp:lastPrinted>2023-05-11T17:47:54Z</cp:lastPrinted>
  <dcterms:created xsi:type="dcterms:W3CDTF">2019-11-18T12:02:57Z</dcterms:created>
  <dcterms:modified xsi:type="dcterms:W3CDTF">2025-05-15T11:11:36Z</dcterms:modified>
</cp:coreProperties>
</file>